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ource\TC硬件估算\"/>
    </mc:Choice>
  </mc:AlternateContent>
  <bookViews>
    <workbookView minimized="1" xWindow="240" yWindow="270" windowWidth="14850" windowHeight="8415" tabRatio="878" activeTab="5"/>
  </bookViews>
  <sheets>
    <sheet name="Copyright" sheetId="4" r:id="rId1"/>
    <sheet name="Change Log" sheetId="1" r:id="rId2"/>
    <sheet name="UsageGuide" sheetId="2" r:id="rId3"/>
    <sheet name="SizingforTC8.3" sheetId="6" r:id="rId4"/>
    <sheet name="TC9.1 and TC10.1 Sizing" sheetId="10" r:id="rId5"/>
    <sheet name="TC11.2 Sizing" sheetId="17" r:id="rId6"/>
    <sheet name="SizingforTC10.1inCloud" sheetId="12" r:id="rId7"/>
    <sheet name="8.3Baseline" sheetId="3" r:id="rId8"/>
    <sheet name="9.1Baseline" sheetId="14" r:id="rId9"/>
    <sheet name="10.1Baseline" sheetId="8" r:id="rId10"/>
    <sheet name="11.2Baseline" sheetId="15" r:id="rId11"/>
  </sheets>
  <externalReferences>
    <externalReference r:id="rId12"/>
  </externalReferences>
  <definedNames>
    <definedName name="b">#REF!</definedName>
    <definedName name="CON2T" localSheetId="6">SizingforTC10.1inCloud!$E$18</definedName>
    <definedName name="CON2T" localSheetId="3">SizingforTC8.3!$E$17</definedName>
    <definedName name="CON2T" localSheetId="5">'TC11.2 Sizing'!$E$18</definedName>
    <definedName name="CON2T" localSheetId="4">'TC9.1 and TC10.1 Sizing'!$E$18</definedName>
    <definedName name="CON4T" localSheetId="6">SizingforTC10.1inCloud!$E$19</definedName>
    <definedName name="CON4T" localSheetId="3">SizingforTC8.3!$E$18</definedName>
    <definedName name="CON4T" localSheetId="5">'TC11.2 Sizing'!$E$19</definedName>
    <definedName name="CON4T" localSheetId="4">'TC9.1 and TC10.1 Sizing'!$E$19</definedName>
    <definedName name="CON4T2" localSheetId="9">#REF!</definedName>
    <definedName name="CON4T2" localSheetId="8">#REF!</definedName>
    <definedName name="CON4T2" localSheetId="6">SizingforTC10.1inCloud!$E$21</definedName>
    <definedName name="CON4T2" localSheetId="5">'TC11.2 Sizing'!$E$21</definedName>
    <definedName name="CON4T2" localSheetId="4">'TC9.1 and TC10.1 Sizing'!$E$21</definedName>
    <definedName name="CON4T2">SizingforTC8.3!$E$20</definedName>
    <definedName name="CONWC" localSheetId="6">SizingforTC10.1inCloud!$E$20</definedName>
    <definedName name="CONWC" localSheetId="3">SizingforTC8.3!$E$19</definedName>
    <definedName name="CONWC" localSheetId="5">'TC11.2 Sizing'!$E$20</definedName>
    <definedName name="CONWC" localSheetId="4">'TC9.1 and TC10.1 Sizing'!$E$20</definedName>
    <definedName name="CPU_DT" localSheetId="8">[1]Sizing_AllPlatforms!#REF!</definedName>
    <definedName name="CPU_DT" localSheetId="6">[1]Sizing_AllPlatforms!#REF!</definedName>
    <definedName name="CPU_DT" localSheetId="5">[1]Sizing_AllPlatforms!#REF!</definedName>
    <definedName name="CPU_DT" localSheetId="4">[1]Sizing_AllPlatforms!#REF!</definedName>
    <definedName name="CPU_DT">[1]Sizing_AllPlatforms!#REF!</definedName>
    <definedName name="CPU_DTx" localSheetId="5">[1]Sizing_AllPlatforms!#REF!</definedName>
    <definedName name="CPU_DTx">[1]Sizing_AllPlatforms!#REF!</definedName>
    <definedName name="CPU_SCALE" localSheetId="9">#REF!</definedName>
    <definedName name="CPU_SCALE" localSheetId="8">#REF!</definedName>
    <definedName name="CPU_SCALE" localSheetId="6">SizingforTC10.1inCloud!$H$19</definedName>
    <definedName name="CPU_SCALE" localSheetId="5">'TC11.2 Sizing'!$H$19</definedName>
    <definedName name="CPU_SCALE" localSheetId="4">'TC9.1 and TC10.1 Sizing'!$H$19</definedName>
    <definedName name="CPU_SCALE">SizingforTC8.3!$H$18</definedName>
    <definedName name="DB_APP" localSheetId="6">SizingforTC10.1inCloud!$B$40</definedName>
    <definedName name="DB_APP" localSheetId="5">'TC11.2 Sizing'!$B$43</definedName>
    <definedName name="DB_APP">'TC9.1 and TC10.1 Sizing'!$B$43</definedName>
    <definedName name="f">#REF!</definedName>
    <definedName name="FMS_SCALE" localSheetId="9">#REF!</definedName>
    <definedName name="FMS_SCALE" localSheetId="8">#REF!</definedName>
    <definedName name="FMS_SCALE" localSheetId="6">SizingforTC10.1inCloud!$G$50</definedName>
    <definedName name="FMS_SCALE" localSheetId="5">'TC11.2 Sizing'!$G$56</definedName>
    <definedName name="FMS_SCALE" localSheetId="4">'TC9.1 and TC10.1 Sizing'!$G$56</definedName>
    <definedName name="FMS_SCALE">SizingforTC8.3!$G$50</definedName>
    <definedName name="MEM_" localSheetId="8">[1]Sizing_AllPlatforms!#REF!</definedName>
    <definedName name="MEM_" localSheetId="6">[1]Sizing_AllPlatforms!#REF!</definedName>
    <definedName name="MEM_" localSheetId="5">[1]Sizing_AllPlatforms!#REF!</definedName>
    <definedName name="MEM_" localSheetId="4">[1]Sizing_AllPlatforms!#REF!</definedName>
    <definedName name="MEM_">[1]Sizing_AllPlatforms!#REF!</definedName>
    <definedName name="MEM_DT" localSheetId="9">#REF!</definedName>
    <definedName name="MEM_DT" localSheetId="8">#REF!</definedName>
    <definedName name="MEM_DT">SizingforTC8.3!$G$40</definedName>
    <definedName name="MEM_DT_RAC" localSheetId="6">SizingforTC10.1inCloud!#REF!</definedName>
    <definedName name="MEM_DT_RAC" localSheetId="5">'TC11.2 Sizing'!$G$45</definedName>
    <definedName name="MEM_DT_RAC">'TC9.1 and TC10.1 Sizing'!$G$45</definedName>
    <definedName name="MEM_DT_SQL" localSheetId="8">[1]Sizing_AllPlatforms!#REF!</definedName>
    <definedName name="MEM_DT_SQL" localSheetId="6">[1]Sizing_AllPlatforms!#REF!</definedName>
    <definedName name="MEM_DT_SQL" localSheetId="5">[1]Sizing_AllPlatforms!#REF!</definedName>
    <definedName name="MEM_DT_SQL" localSheetId="4">[1]Sizing_AllPlatforms!#REF!</definedName>
    <definedName name="MEM_DT_SQL">[1]Sizing_AllPlatforms!#REF!</definedName>
    <definedName name="MEM_DT_SQLx" localSheetId="5">[1]Sizing_AllPlatforms!#REF!</definedName>
    <definedName name="MEM_DT_SQLx">[1]Sizing_AllPlatforms!#REF!</definedName>
    <definedName name="MEM_DT_Thin" localSheetId="6">SizingforTC10.1inCloud!$G$40</definedName>
    <definedName name="MEM_DT_Thin" localSheetId="5">'TC11.2 Sizing'!$G$44</definedName>
    <definedName name="MEM_DT_Thin">'TC9.1 and TC10.1 Sizing'!$G$44</definedName>
    <definedName name="MEM_ET" localSheetId="9">#REF!</definedName>
    <definedName name="MEM_ET" localSheetId="8">#REF!</definedName>
    <definedName name="MEM_ET">SizingforTC8.3!$G$24</definedName>
    <definedName name="MEM_ET_RAC" localSheetId="6">SizingforTC10.1inCloud!#REF!</definedName>
    <definedName name="MEM_ET_RAC" localSheetId="5">'TC11.2 Sizing'!$G$27</definedName>
    <definedName name="MEM_ET_RAC">'TC9.1 and TC10.1 Sizing'!$G$27</definedName>
    <definedName name="MEM_ET_Thin" localSheetId="6">SizingforTC10.1inCloud!$G$25</definedName>
    <definedName name="MEM_ET_Thin" localSheetId="5">'TC11.2 Sizing'!$G$26</definedName>
    <definedName name="MEM_ET_Thin" localSheetId="4">'TC9.1 and TC10.1 Sizing'!$G$26</definedName>
    <definedName name="MEM_FT" localSheetId="9">#REF!</definedName>
    <definedName name="MEM_FT" localSheetId="8">#REF!</definedName>
    <definedName name="MEM_FT" localSheetId="5">'TC11.2 Sizing'!$G$55</definedName>
    <definedName name="MEM_FT" localSheetId="4">'TC9.1 and TC10.1 Sizing'!$G$55</definedName>
    <definedName name="MEM_FT">SizingforTC8.3!$G$49</definedName>
    <definedName name="MEM_FT_Thin" localSheetId="6">SizingforTC10.1inCloud!$G$49</definedName>
    <definedName name="MEM_SCALE" localSheetId="9">#REF!</definedName>
    <definedName name="MEM_SCALE" localSheetId="8">#REF!</definedName>
    <definedName name="MEM_SCALE" localSheetId="6">SizingforTC10.1inCloud!$H$20</definedName>
    <definedName name="MEM_SCALE" localSheetId="5">'TC11.2 Sizing'!$H$20</definedName>
    <definedName name="MEM_SCALE" localSheetId="4">'TC9.1 and TC10.1 Sizing'!$H$20</definedName>
    <definedName name="MEM_SCALE">SizingforTC8.3!$H$19</definedName>
    <definedName name="MEM_SGA" localSheetId="9">#REF!</definedName>
    <definedName name="MEM_SGA" localSheetId="8">#REF!</definedName>
    <definedName name="MEM_SGA" localSheetId="6">SizingforTC10.1inCloud!#REF!</definedName>
    <definedName name="MEM_SGA" localSheetId="5">'TC11.2 Sizing'!$G$47</definedName>
    <definedName name="MEM_SGA" localSheetId="4">'TC9.1 and TC10.1 Sizing'!$G$47</definedName>
    <definedName name="MEM_SGA">SizingforTC8.3!$G$41</definedName>
    <definedName name="MEM_SGA_SQL" localSheetId="8">[1]Sizing_AllPlatforms!#REF!</definedName>
    <definedName name="MEM_SGA_SQL" localSheetId="6">[1]Sizing_AllPlatforms!#REF!</definedName>
    <definedName name="MEM_SGA_SQL" localSheetId="5">[1]Sizing_AllPlatforms!#REF!</definedName>
    <definedName name="MEM_SGA_SQL" localSheetId="4">[1]Sizing_AllPlatforms!#REF!</definedName>
    <definedName name="MEM_SGA_SQL">[1]Sizing_AllPlatforms!#REF!</definedName>
    <definedName name="MEM_SGA_SQLx" localSheetId="5">[1]Sizing_AllPlatforms!#REF!</definedName>
    <definedName name="MEM_SGA_SQLx">[1]Sizing_AllPlatforms!#REF!</definedName>
    <definedName name="MEM_VOL">[1]Sizing_AllPlatforms!$G$49</definedName>
    <definedName name="MEM_WT" localSheetId="9">#REF!</definedName>
    <definedName name="MEM_WT" localSheetId="8">#REF!</definedName>
    <definedName name="MEM_WT" localSheetId="5">'TC11.2 Sizing'!$G$35</definedName>
    <definedName name="MEM_WT" localSheetId="4">'TC9.1 and TC10.1 Sizing'!$G$35</definedName>
    <definedName name="MEM_WT">SizingforTC8.3!$G$32</definedName>
    <definedName name="MEM_WT_Thin" localSheetId="6">SizingforTC10.1inCloud!$G$33</definedName>
    <definedName name="MEM_x" localSheetId="5">[1]Sizing_AllPlatforms!#REF!</definedName>
    <definedName name="MEM_x">[1]Sizing_AllPlatforms!#REF!</definedName>
    <definedName name="n">#REF!</definedName>
    <definedName name="NUM" localSheetId="8">#REF!</definedName>
    <definedName name="NUM" localSheetId="6">#REF!</definedName>
    <definedName name="NUM" localSheetId="5">#REF!</definedName>
    <definedName name="NUM" localSheetId="4">#REF!</definedName>
    <definedName name="NUM">#REF!</definedName>
    <definedName name="NUM2T" localSheetId="6">SizingforTC10.1inCloud!$B$18</definedName>
    <definedName name="NUM2T" localSheetId="3">SizingforTC8.3!$B$17</definedName>
    <definedName name="NUM2T" localSheetId="5">'TC11.2 Sizing'!$B$18</definedName>
    <definedName name="NUM2T" localSheetId="4">'TC9.1 and TC10.1 Sizing'!$B$18</definedName>
    <definedName name="NUM4T" localSheetId="6">SizingforTC10.1inCloud!$B$19</definedName>
    <definedName name="NUM4T" localSheetId="3">SizingforTC8.3!$B$18</definedName>
    <definedName name="NUM4T" localSheetId="5">'TC11.2 Sizing'!$B$19</definedName>
    <definedName name="NUM4T" localSheetId="4">'TC9.1 and TC10.1 Sizing'!$B$19</definedName>
    <definedName name="NUM4T2" localSheetId="9">#REF!</definedName>
    <definedName name="NUM4T2" localSheetId="8">#REF!</definedName>
    <definedName name="NUM4T2" localSheetId="6">SizingforTC10.1inCloud!$B$21</definedName>
    <definedName name="NUM4T2" localSheetId="5">'TC11.2 Sizing'!$B$21</definedName>
    <definedName name="NUM4T2" localSheetId="4">'TC9.1 and TC10.1 Sizing'!$B$21</definedName>
    <definedName name="NUM4T2">SizingforTC8.3!$B$20</definedName>
    <definedName name="NUMWC" localSheetId="6">SizingforTC10.1inCloud!$B$20</definedName>
    <definedName name="NUMWC" localSheetId="3">SizingforTC8.3!$B$19</definedName>
    <definedName name="NUMWC" localSheetId="5">'TC11.2 Sizing'!$B$20</definedName>
    <definedName name="NUMWC" localSheetId="4">'TC9.1 and TC10.1 Sizing'!$B$20</definedName>
    <definedName name="NUMx" localSheetId="5">#REF!</definedName>
    <definedName name="NUMx">#REF!</definedName>
    <definedName name="PEAKCPU" localSheetId="6">SizingforTC10.1inCloud!#REF!</definedName>
    <definedName name="PEAKCPU" localSheetId="3">SizingforTC8.3!#REF!</definedName>
    <definedName name="PEAKCPU" localSheetId="5">'TC11.2 Sizing'!#REF!</definedName>
    <definedName name="PEAKCPU" localSheetId="4">'TC9.1 and TC10.1 Sizing'!#REF!</definedName>
    <definedName name="PEAKCPUMEM" localSheetId="9">#REF!</definedName>
    <definedName name="PEAKCPUMEM" localSheetId="8">#REF!</definedName>
    <definedName name="PEAKCPUMEM" localSheetId="6">SizingforTC10.1inCloud!$H$18</definedName>
    <definedName name="PEAKCPUMEM" localSheetId="5">'TC11.2 Sizing'!$H$18</definedName>
    <definedName name="PEAKCPUMEM" localSheetId="4">'TC9.1 and TC10.1 Sizing'!$H$18</definedName>
    <definedName name="PEAKCPUMEM">SizingforTC8.3!$H$17</definedName>
    <definedName name="_xlnm.Print_Area" localSheetId="6">SizingforTC10.1inCloud!$A$1:$H$58</definedName>
    <definedName name="_xlnm.Print_Area" localSheetId="3">SizingforTC8.3!$A$1:$H$58</definedName>
    <definedName name="_xlnm.Print_Area" localSheetId="5">'TC11.2 Sizing'!$A$1:$H$64</definedName>
    <definedName name="_xlnm.Print_Area" localSheetId="4">'TC9.1 and TC10.1 Sizing'!$A$1:$H$64</definedName>
    <definedName name="s">#REF!</definedName>
    <definedName name="SCALE" localSheetId="6">SizingforTC10.1inCloud!$H$19</definedName>
    <definedName name="SCALE" localSheetId="3">SizingforTC8.3!$H$18</definedName>
    <definedName name="SCALE" localSheetId="5">'TC11.2 Sizing'!$H$19</definedName>
    <definedName name="SCALE" localSheetId="4">'TC9.1 and TC10.1 Sizing'!$H$19</definedName>
    <definedName name="SDR_DT" localSheetId="9">#REF!</definedName>
    <definedName name="SDR_DT" localSheetId="8">#REF!</definedName>
    <definedName name="SDR_DT">SizingforTC8.3!$G$39</definedName>
    <definedName name="SDR_DT_RAC" localSheetId="6">SizingforTC10.1inCloud!#REF!</definedName>
    <definedName name="SDR_DT_RAC" localSheetId="5">'TC11.2 Sizing'!$G$43</definedName>
    <definedName name="SDR_DT_RAC" localSheetId="4">'TC9.1 and TC10.1 Sizing'!$G$43</definedName>
    <definedName name="SDR_DT_SQL" localSheetId="8">[1]Sizing_AllPlatforms!#REF!</definedName>
    <definedName name="SDR_DT_SQL" localSheetId="6">[1]Sizing_AllPlatforms!#REF!</definedName>
    <definedName name="SDR_DT_SQL" localSheetId="5">[1]Sizing_AllPlatforms!#REF!</definedName>
    <definedName name="SDR_DT_SQL" localSheetId="4">[1]Sizing_AllPlatforms!#REF!</definedName>
    <definedName name="SDR_DT_SQL">[1]Sizing_AllPlatforms!#REF!</definedName>
    <definedName name="SDR_DT_SQLx" localSheetId="5">[1]Sizing_AllPlatforms!#REF!</definedName>
    <definedName name="SDR_DT_SQLx">[1]Sizing_AllPlatforms!#REF!</definedName>
    <definedName name="SDR_DT_Thin" localSheetId="6">SizingforTC10.1inCloud!$G$39</definedName>
    <definedName name="SDR_DT_Thin" localSheetId="5">'TC11.2 Sizing'!$G$42</definedName>
    <definedName name="SDR_DT_Thin" localSheetId="4">'TC9.1 and TC10.1 Sizing'!$G$42</definedName>
    <definedName name="SDR_ET" localSheetId="9">#REF!</definedName>
    <definedName name="SDR_ET" localSheetId="8">#REF!</definedName>
    <definedName name="SDR_ET">SizingforTC8.3!$G$23</definedName>
    <definedName name="SDR_ET_RAC" localSheetId="6">SizingforTC10.1inCloud!#REF!</definedName>
    <definedName name="SDR_ET_RAC" localSheetId="5">'TC11.2 Sizing'!$G$25</definedName>
    <definedName name="SDR_ET_RAC">'TC9.1 and TC10.1 Sizing'!$G$25</definedName>
    <definedName name="SDR_ET_Thin" localSheetId="6">SizingforTC10.1inCloud!$G$24</definedName>
    <definedName name="SDR_ET_Thin" localSheetId="5">'TC11.2 Sizing'!$G$24</definedName>
    <definedName name="SDR_ET_Thin">'TC9.1 and TC10.1 Sizing'!$G$24</definedName>
    <definedName name="SDR_FT" localSheetId="9">#REF!</definedName>
    <definedName name="SDR_FT" localSheetId="8">#REF!</definedName>
    <definedName name="SDR_FT" localSheetId="5">'TC11.2 Sizing'!$G$54</definedName>
    <definedName name="SDR_FT" localSheetId="4">'TC9.1 and TC10.1 Sizing'!$G$54</definedName>
    <definedName name="SDR_FT">SizingforTC8.3!$G$48</definedName>
    <definedName name="SDR_FT_Thin" localSheetId="6">SizingforTC10.1inCloud!$G$48</definedName>
    <definedName name="SDR_WT" localSheetId="9">#REF!</definedName>
    <definedName name="SDR_WT" localSheetId="8">#REF!</definedName>
    <definedName name="SDR_WT" localSheetId="5">'TC11.2 Sizing'!$G$34</definedName>
    <definedName name="SDR_WT" localSheetId="4">'TC9.1 and TC10.1 Sizing'!$G$34</definedName>
    <definedName name="SDR_WT">SizingforTC8.3!$G$31</definedName>
    <definedName name="SDR_WT_Thin" localSheetId="6">SizingforTC10.1inCloud!$G$32</definedName>
    <definedName name="SDRC_ET" localSheetId="8">[1]Sizing_AllPlatforms!#REF!</definedName>
    <definedName name="SDRC_ET" localSheetId="6">[1]Sizing_AllPlatforms!#REF!</definedName>
    <definedName name="SDRC_ET" localSheetId="5">[1]Sizing_AllPlatforms!#REF!</definedName>
    <definedName name="SDRC_ET" localSheetId="4">[1]Sizing_AllPlatforms!#REF!</definedName>
    <definedName name="SDRC_ET">[1]Sizing_AllPlatforms!#REF!</definedName>
    <definedName name="SDRC_ETx" localSheetId="5">[1]Sizing_AllPlatforms!#REF!</definedName>
    <definedName name="SDRC_ETx">[1]Sizing_AllPlatforms!#REF!</definedName>
    <definedName name="test" localSheetId="8">[1]Sizing_AllPlatforms!#REF!</definedName>
    <definedName name="test" localSheetId="6">[1]Sizing_AllPlatforms!#REF!</definedName>
    <definedName name="test" localSheetId="5">[1]Sizing_AllPlatforms!#REF!</definedName>
    <definedName name="test" localSheetId="4">[1]Sizing_AllPlatforms!#REF!</definedName>
    <definedName name="test">[1]Sizing_AllPlatforms!#REF!</definedName>
    <definedName name="testa" localSheetId="8">[1]Sizing_AllPlatforms!#REF!</definedName>
    <definedName name="testa" localSheetId="6">[1]Sizing_AllPlatforms!#REF!</definedName>
    <definedName name="testa" localSheetId="5">[1]Sizing_AllPlatforms!#REF!</definedName>
    <definedName name="testa" localSheetId="4">[1]Sizing_AllPlatforms!#REF!</definedName>
    <definedName name="testa">[1]Sizing_AllPlatforms!#REF!</definedName>
    <definedName name="testaX" localSheetId="5">[1]Sizing_AllPlatforms!#REF!</definedName>
    <definedName name="testaX">[1]Sizing_AllPlatforms!#REF!</definedName>
    <definedName name="testX" localSheetId="5">[1]Sizing_AllPlatforms!#REF!</definedName>
    <definedName name="testX">[1]Sizing_AllPlatforms!#REF!</definedName>
    <definedName name="w">#REF!</definedName>
    <definedName name="z">#REF!</definedName>
  </definedNames>
  <calcPr calcId="152511"/>
</workbook>
</file>

<file path=xl/calcChain.xml><?xml version="1.0" encoding="utf-8"?>
<calcChain xmlns="http://schemas.openxmlformats.org/spreadsheetml/2006/main">
  <c r="J24" i="15" l="1"/>
  <c r="J23" i="15"/>
  <c r="I27" i="15"/>
  <c r="I26" i="15"/>
  <c r="I25" i="15"/>
  <c r="I24" i="15"/>
  <c r="I23" i="15"/>
  <c r="I22" i="15"/>
  <c r="H27" i="15"/>
  <c r="H26" i="15"/>
  <c r="H25" i="15"/>
  <c r="H24" i="15"/>
  <c r="H23" i="15"/>
  <c r="H22" i="15"/>
  <c r="G27" i="15"/>
  <c r="G26" i="15"/>
  <c r="G25" i="15"/>
  <c r="G24" i="15"/>
  <c r="G23" i="15"/>
  <c r="G22" i="15"/>
  <c r="J15" i="15"/>
  <c r="J14" i="15"/>
  <c r="I18" i="15"/>
  <c r="I17" i="15"/>
  <c r="I16" i="15"/>
  <c r="I15" i="15"/>
  <c r="I14" i="15"/>
  <c r="H18" i="15"/>
  <c r="H17" i="15"/>
  <c r="H16" i="15"/>
  <c r="H15" i="15"/>
  <c r="H14" i="15"/>
  <c r="G18" i="15"/>
  <c r="G17" i="15"/>
  <c r="G16" i="15"/>
  <c r="G15" i="15"/>
  <c r="G14" i="15"/>
  <c r="E58" i="17" l="1"/>
  <c r="H54" i="17"/>
  <c r="H43" i="17"/>
  <c r="B43" i="17"/>
  <c r="H42" i="17"/>
  <c r="H34" i="17"/>
  <c r="A31" i="17"/>
  <c r="H25" i="17"/>
  <c r="H24" i="17"/>
  <c r="G45" i="17"/>
  <c r="G35" i="17"/>
  <c r="G43" i="17"/>
  <c r="G34" i="17"/>
  <c r="G44" i="17"/>
  <c r="G26" i="17"/>
  <c r="G54" i="17"/>
  <c r="G24" i="17"/>
  <c r="G47" i="17"/>
  <c r="G25" i="17"/>
  <c r="G27" i="10"/>
  <c r="G42" i="17"/>
  <c r="G26" i="10"/>
  <c r="G27" i="17"/>
  <c r="E57" i="17" l="1"/>
  <c r="E50" i="17"/>
  <c r="E30" i="17"/>
  <c r="E29" i="17"/>
  <c r="E37" i="17"/>
  <c r="E49" i="17"/>
  <c r="E38" i="17"/>
  <c r="E49" i="15"/>
  <c r="A31" i="10" l="1"/>
  <c r="H48" i="12" l="1"/>
  <c r="H39" i="12"/>
  <c r="H32" i="12"/>
  <c r="H24" i="12"/>
  <c r="G54" i="10"/>
  <c r="G32" i="12"/>
  <c r="G24" i="12"/>
  <c r="G40" i="12"/>
  <c r="G39" i="12"/>
  <c r="G33" i="12"/>
  <c r="G25" i="12"/>
  <c r="G48" i="12"/>
  <c r="G42" i="10"/>
  <c r="G49" i="12"/>
  <c r="E43" i="12" l="1"/>
  <c r="E36" i="12"/>
  <c r="E44" i="12"/>
  <c r="E51" i="12"/>
  <c r="E52" i="12"/>
  <c r="E35" i="12"/>
  <c r="E28" i="12"/>
  <c r="E27" i="12"/>
  <c r="H43" i="10"/>
  <c r="H54" i="10"/>
  <c r="B43" i="10"/>
  <c r="G43" i="10"/>
  <c r="G45" i="10"/>
  <c r="G47" i="10"/>
  <c r="G34" i="10"/>
  <c r="G44" i="10"/>
  <c r="G35" i="10"/>
  <c r="E50" i="10" l="1"/>
  <c r="E49" i="10"/>
  <c r="E38" i="10"/>
  <c r="H24" i="10"/>
  <c r="H25" i="10"/>
  <c r="E58" i="10"/>
  <c r="E57" i="10"/>
  <c r="H42" i="10"/>
  <c r="H34" i="10"/>
  <c r="E52" i="6"/>
  <c r="G24" i="10"/>
  <c r="G24" i="6"/>
  <c r="G23" i="6"/>
  <c r="G25" i="10"/>
  <c r="E29" i="10" l="1"/>
  <c r="E37" i="10"/>
  <c r="E30" i="10"/>
  <c r="E51" i="6"/>
  <c r="G41" i="6"/>
  <c r="G40" i="6"/>
  <c r="E44" i="6" l="1"/>
  <c r="H39" i="6"/>
  <c r="G32" i="6"/>
  <c r="E35" i="6" s="1"/>
  <c r="H31" i="6"/>
  <c r="H23" i="6"/>
  <c r="G31" i="6"/>
  <c r="G39" i="6"/>
  <c r="E27" i="6" l="1"/>
  <c r="E43" i="6"/>
  <c r="E34" i="6"/>
  <c r="E26" i="6"/>
</calcChain>
</file>

<file path=xl/comments1.xml><?xml version="1.0" encoding="utf-8"?>
<comments xmlns="http://schemas.openxmlformats.org/spreadsheetml/2006/main">
  <authors>
    <author>Chris Diener</author>
    <author>Ramesh Venugopal</author>
  </authors>
  <commentList>
    <comment ref="A16" authorId="0" shapeId="0">
      <text>
        <r>
          <rPr>
            <b/>
            <sz val="8"/>
            <color indexed="81"/>
            <rFont val="Tahoma"/>
            <family val="2"/>
          </rPr>
          <t>This will provide the most accurate results, if client breakdown is understood.</t>
        </r>
      </text>
    </comment>
    <comment ref="H17" authorId="1" shapeId="0">
      <text>
        <r>
          <rPr>
            <b/>
            <sz val="8"/>
            <color indexed="81"/>
            <rFont val="Tahoma"/>
            <family val="2"/>
          </rPr>
          <t>Desired Peak Value of CPU and Memory at full user load</t>
        </r>
        <r>
          <rPr>
            <sz val="8"/>
            <color indexed="81"/>
            <rFont val="Tahoma"/>
            <family val="2"/>
          </rPr>
          <t xml:space="preserve">
</t>
        </r>
      </text>
    </comment>
    <comment ref="H18" authorId="0" shapeId="0">
      <text>
        <r>
          <rPr>
            <b/>
            <sz val="8"/>
            <color indexed="81"/>
            <rFont val="Tahoma"/>
            <family val="2"/>
          </rPr>
          <t>Scaling factor to account for difference in usage profiles
(a) Thin Clients and Light CAD -  1.5
(b) Moderate CAD - 2
© High CAD usage - 3+</t>
        </r>
      </text>
    </comment>
    <comment ref="H19" authorId="1" shapeId="0">
      <text>
        <r>
          <rPr>
            <b/>
            <sz val="8"/>
            <color indexed="81"/>
            <rFont val="Tahoma"/>
            <family val="2"/>
          </rPr>
          <t>Scaling factor to account for difference in usage profiles
(a) Thin Clients and Light CAD -  1.5
(b) Moderate CAD - 2
© High CAD usage - 3+</t>
        </r>
        <r>
          <rPr>
            <sz val="8"/>
            <color indexed="81"/>
            <rFont val="Tahoma"/>
            <family val="2"/>
          </rPr>
          <t xml:space="preserve">
</t>
        </r>
      </text>
    </comment>
    <comment ref="A20" authorId="1" shapeId="0">
      <text>
        <r>
          <rPr>
            <b/>
            <sz val="8"/>
            <color indexed="81"/>
            <rFont val="Tahoma"/>
            <family val="2"/>
          </rPr>
          <t>Certain Teamcenter modules/integrations acquire a second tcserver.  
Ex: Tc8.3 Visualization</t>
        </r>
        <r>
          <rPr>
            <sz val="8"/>
            <color indexed="81"/>
            <rFont val="Tahoma"/>
            <family val="2"/>
          </rPr>
          <t xml:space="preserve">
</t>
        </r>
        <r>
          <rPr>
            <b/>
            <sz val="8"/>
            <color indexed="81"/>
            <rFont val="Tahoma"/>
            <family val="2"/>
          </rPr>
          <t xml:space="preserve">Enter number of named users with such  usage
Will impact memory calculation only  </t>
        </r>
      </text>
    </comment>
    <comment ref="D26" authorId="1" shapeId="0">
      <text>
        <r>
          <rPr>
            <sz val="8"/>
            <color indexed="81"/>
            <rFont val="Tahoma"/>
            <family val="2"/>
          </rPr>
          <t xml:space="preserve">Formula:
(Num4TConcurrentUsers*SDRperUser*ScalingFactor)/PeakCPU
</t>
        </r>
      </text>
    </comment>
    <comment ref="D27" authorId="1" shapeId="0">
      <text>
        <r>
          <rPr>
            <b/>
            <sz val="8"/>
            <color indexed="81"/>
            <rFont val="Tahoma"/>
            <family val="2"/>
          </rPr>
          <t>Formula:
(Num4TConcurrentUsers*MemperUserMB*ScalingFactor)/(PeakMem*1024)</t>
        </r>
        <r>
          <rPr>
            <sz val="8"/>
            <color indexed="81"/>
            <rFont val="Tahoma"/>
            <family val="2"/>
          </rPr>
          <t xml:space="preserve">
</t>
        </r>
      </text>
    </comment>
    <comment ref="F27" authorId="1" shapeId="0">
      <text>
        <r>
          <rPr>
            <sz val="8"/>
            <color indexed="81"/>
            <rFont val="Tahoma"/>
            <family val="2"/>
          </rPr>
          <t>(a) Kernel Minimum: 2GB Win;  4GB Unix; 
(b) For HPUX and AIX, reserve at least 10% of total memory for file buffer cache</t>
        </r>
      </text>
    </comment>
    <comment ref="D34" authorId="1" shapeId="0">
      <text>
        <r>
          <rPr>
            <b/>
            <sz val="8"/>
            <color indexed="81"/>
            <rFont val="Tahoma"/>
            <family val="2"/>
          </rPr>
          <t>Formula:
(Num4TConcurrentUsers*SDRperUser*ScalingFactor)/PeakCPU</t>
        </r>
        <r>
          <rPr>
            <sz val="8"/>
            <color indexed="81"/>
            <rFont val="Tahoma"/>
            <family val="2"/>
          </rPr>
          <t xml:space="preserve">
</t>
        </r>
      </text>
    </comment>
    <comment ref="F35" authorId="1" shapeId="0">
      <text>
        <r>
          <rPr>
            <b/>
            <sz val="8"/>
            <color indexed="81"/>
            <rFont val="Tahoma"/>
            <family val="2"/>
          </rPr>
          <t>(a) 2GB minimum
(b) For HPUX and AIX, reserve at least 10% of total memory for buffer cache</t>
        </r>
        <r>
          <rPr>
            <sz val="8"/>
            <color indexed="81"/>
            <rFont val="Tahoma"/>
            <family val="2"/>
          </rPr>
          <t xml:space="preserve">
</t>
        </r>
      </text>
    </comment>
    <comment ref="D43" authorId="1" shapeId="0">
      <text>
        <r>
          <rPr>
            <b/>
            <sz val="8"/>
            <color indexed="81"/>
            <rFont val="Tahoma"/>
            <family val="2"/>
          </rPr>
          <t>Formula:
(NumConcurrentUsers*SDRperUser*ScalingFactor)/PeakCPU</t>
        </r>
        <r>
          <rPr>
            <sz val="8"/>
            <color indexed="81"/>
            <rFont val="Tahoma"/>
            <family val="2"/>
          </rPr>
          <t xml:space="preserve">
</t>
        </r>
      </text>
    </comment>
    <comment ref="F44" authorId="1" shapeId="0">
      <text>
        <r>
          <rPr>
            <b/>
            <sz val="8"/>
            <color indexed="81"/>
            <rFont val="Tahoma"/>
            <family val="2"/>
          </rPr>
          <t>(a) 2GB minimum
(b) For HPUX and AIX, reserve at least 10% of total memory for buffer cache</t>
        </r>
      </text>
    </comment>
    <comment ref="G50" authorId="1" shapeId="0">
      <text>
        <r>
          <rPr>
            <sz val="8"/>
            <color indexed="81"/>
            <rFont val="Tahoma"/>
            <family val="2"/>
          </rPr>
          <t xml:space="preserve">Refer to FMS Baseline Sizing criteria and modify Scaling Factor based on expected 
</t>
        </r>
      </text>
    </comment>
    <comment ref="F52" authorId="1" shapeId="0">
      <text>
        <r>
          <rPr>
            <sz val="8"/>
            <color indexed="81"/>
            <rFont val="Tahoma"/>
            <family val="2"/>
          </rPr>
          <t xml:space="preserve">(a) Kernel: Minimum: 2GB Windows;  
(b) File Buffer Cache:
Minimum - 4GB Windows
</t>
        </r>
      </text>
    </comment>
  </commentList>
</comments>
</file>

<file path=xl/comments2.xml><?xml version="1.0" encoding="utf-8"?>
<comments xmlns="http://schemas.openxmlformats.org/spreadsheetml/2006/main">
  <authors>
    <author>Chris Diener</author>
    <author>Ramesh Venugopal</author>
  </authors>
  <commentList>
    <comment ref="A17" authorId="0" shapeId="0">
      <text>
        <r>
          <rPr>
            <b/>
            <sz val="8"/>
            <color indexed="81"/>
            <rFont val="Tahoma"/>
            <family val="2"/>
          </rPr>
          <t>This will provide the most accurate results, if client breakdown is understood.</t>
        </r>
      </text>
    </comment>
    <comment ref="H18" authorId="1" shapeId="0">
      <text>
        <r>
          <rPr>
            <b/>
            <sz val="8"/>
            <color indexed="81"/>
            <rFont val="Tahoma"/>
            <family val="2"/>
          </rPr>
          <t>Desired Peak Value of CPU and Memory at full user load</t>
        </r>
        <r>
          <rPr>
            <sz val="8"/>
            <color indexed="81"/>
            <rFont val="Tahoma"/>
            <family val="2"/>
          </rPr>
          <t xml:space="preserve">
</t>
        </r>
      </text>
    </comment>
    <comment ref="H19" authorId="0" shapeId="0">
      <text>
        <r>
          <rPr>
            <b/>
            <sz val="8"/>
            <color indexed="81"/>
            <rFont val="Tahoma"/>
            <family val="2"/>
          </rPr>
          <t>Scaling factor to account for difference in usage profiles
(a) Thin Clients and Light CAD -  1.5
(b) Moderate CAD - 2
© High CAD usage - 3+</t>
        </r>
      </text>
    </comment>
    <comment ref="H20" authorId="1" shapeId="0">
      <text>
        <r>
          <rPr>
            <b/>
            <sz val="8"/>
            <color indexed="81"/>
            <rFont val="Tahoma"/>
            <family val="2"/>
          </rPr>
          <t>Scaling factor to account for difference in usage profiles
(a) Thin Clients and Light CAD -  1.5
(b) Moderate CAD - 2
© High CAD usage - 3+</t>
        </r>
        <r>
          <rPr>
            <sz val="8"/>
            <color indexed="81"/>
            <rFont val="Tahoma"/>
            <family val="2"/>
          </rPr>
          <t xml:space="preserve">
</t>
        </r>
      </text>
    </comment>
    <comment ref="A21" authorId="1" shapeId="0">
      <text>
        <r>
          <rPr>
            <b/>
            <sz val="8"/>
            <color indexed="81"/>
            <rFont val="Tahoma"/>
            <family val="2"/>
          </rPr>
          <t>Certain Teamcenter modules/integrations acquire a second tcserver.  
Ex: Tc8.3 Visualization</t>
        </r>
        <r>
          <rPr>
            <sz val="8"/>
            <color indexed="81"/>
            <rFont val="Tahoma"/>
            <family val="2"/>
          </rPr>
          <t xml:space="preserve">
</t>
        </r>
        <r>
          <rPr>
            <b/>
            <sz val="8"/>
            <color indexed="81"/>
            <rFont val="Tahoma"/>
            <family val="2"/>
          </rPr>
          <t xml:space="preserve">Enter number of named users with such  usage
Will impact memory calculation only  </t>
        </r>
      </text>
    </comment>
    <comment ref="D29" authorId="1" shapeId="0">
      <text>
        <r>
          <rPr>
            <sz val="8"/>
            <color indexed="81"/>
            <rFont val="Tahoma"/>
            <family val="2"/>
          </rPr>
          <t xml:space="preserve">
Formula:
(Num4TConcurrentUsers*SDRperUserforRAC+NumWCConcurrentUsers*SDRperUserforThin)*ScalingFactor/PeakCPU</t>
        </r>
      </text>
    </comment>
    <comment ref="D30" authorId="1" shapeId="0">
      <text>
        <r>
          <rPr>
            <b/>
            <sz val="8"/>
            <color indexed="81"/>
            <rFont val="Tahoma"/>
            <family val="2"/>
          </rPr>
          <t>Formula:
((Num4TConcurrentUsers+Num4T2ConcuurentUsers)*MemperUserMBForRAC+NumWCConcurrentUsers*MemperUserMBForThin)*ScalingFactor/(PeakMem*1024)</t>
        </r>
        <r>
          <rPr>
            <sz val="8"/>
            <color indexed="81"/>
            <rFont val="Tahoma"/>
            <family val="2"/>
          </rPr>
          <t xml:space="preserve">
</t>
        </r>
      </text>
    </comment>
    <comment ref="F30" authorId="1" shapeId="0">
      <text>
        <r>
          <rPr>
            <sz val="8"/>
            <color indexed="81"/>
            <rFont val="Tahoma"/>
            <family val="2"/>
          </rPr>
          <t>(a) Kernel Minimum: 2GB Win;  4GB Unix; 
(b) For HPUX and AIX, reserve at least 10% of total memory for file buffer cache</t>
        </r>
      </text>
    </comment>
    <comment ref="D37" authorId="1" shapeId="0">
      <text>
        <r>
          <rPr>
            <b/>
            <sz val="8"/>
            <color indexed="81"/>
            <rFont val="Tahoma"/>
            <family val="2"/>
          </rPr>
          <t>Formula:
(Num4TConcurrentUsers*SDRperUser*ScalingFactor)/PeakCPU</t>
        </r>
        <r>
          <rPr>
            <sz val="8"/>
            <color indexed="81"/>
            <rFont val="Tahoma"/>
            <family val="2"/>
          </rPr>
          <t xml:space="preserve">
</t>
        </r>
      </text>
    </comment>
    <comment ref="F38" authorId="1" shapeId="0">
      <text>
        <r>
          <rPr>
            <b/>
            <sz val="8"/>
            <color indexed="81"/>
            <rFont val="Tahoma"/>
            <family val="2"/>
          </rPr>
          <t>(a) 2GB minimum
(b) For AIX, reserve at least 10% of total memory for buffer cache</t>
        </r>
        <r>
          <rPr>
            <sz val="8"/>
            <color indexed="81"/>
            <rFont val="Tahoma"/>
            <family val="2"/>
          </rPr>
          <t xml:space="preserve">
</t>
        </r>
      </text>
    </comment>
    <comment ref="D49" authorId="1" shapeId="0">
      <text>
        <r>
          <rPr>
            <b/>
            <sz val="8"/>
            <color indexed="81"/>
            <rFont val="Tahoma"/>
            <family val="2"/>
          </rPr>
          <t>Formula:
(NumConcurrentUsers*SDRperUser*ScalingFactor)/PeakCPU</t>
        </r>
        <r>
          <rPr>
            <sz val="8"/>
            <color indexed="81"/>
            <rFont val="Tahoma"/>
            <family val="2"/>
          </rPr>
          <t xml:space="preserve">
</t>
        </r>
      </text>
    </comment>
    <comment ref="F50" authorId="1" shapeId="0">
      <text>
        <r>
          <rPr>
            <b/>
            <sz val="8"/>
            <color indexed="81"/>
            <rFont val="Tahoma"/>
            <family val="2"/>
          </rPr>
          <t>(a) 2GB minimum
(b) For HPUX and AIX, reserve at least 10% of total memory for buffer cache</t>
        </r>
      </text>
    </comment>
    <comment ref="G56" authorId="1" shapeId="0">
      <text>
        <r>
          <rPr>
            <sz val="8"/>
            <color indexed="81"/>
            <rFont val="Tahoma"/>
            <family val="2"/>
          </rPr>
          <t xml:space="preserve">Refer to FMS Baseline Sizing criteria and modify Scaling Factor based on expected 
</t>
        </r>
      </text>
    </comment>
    <comment ref="F58" authorId="1" shapeId="0">
      <text>
        <r>
          <rPr>
            <sz val="8"/>
            <color indexed="81"/>
            <rFont val="Tahoma"/>
            <family val="2"/>
          </rPr>
          <t xml:space="preserve">(a) Kernel: Minimum: 2GB Windows;  
(b) File Buffer Cache:
Minimum - 4GB Windows
</t>
        </r>
      </text>
    </comment>
  </commentList>
</comments>
</file>

<file path=xl/comments3.xml><?xml version="1.0" encoding="utf-8"?>
<comments xmlns="http://schemas.openxmlformats.org/spreadsheetml/2006/main">
  <authors>
    <author>Chris Diener</author>
    <author>Ramesh Venugopal</author>
  </authors>
  <commentList>
    <comment ref="A17" authorId="0" shapeId="0">
      <text>
        <r>
          <rPr>
            <b/>
            <sz val="8"/>
            <color indexed="81"/>
            <rFont val="Tahoma"/>
            <family val="2"/>
          </rPr>
          <t>This will provide the most accurate results, if client breakdown is understood.</t>
        </r>
      </text>
    </comment>
    <comment ref="H18" authorId="1" shapeId="0">
      <text>
        <r>
          <rPr>
            <b/>
            <sz val="8"/>
            <color indexed="81"/>
            <rFont val="Tahoma"/>
            <family val="2"/>
          </rPr>
          <t>Desired Peak Value of CPU and Memory at full user load</t>
        </r>
        <r>
          <rPr>
            <sz val="8"/>
            <color indexed="81"/>
            <rFont val="Tahoma"/>
            <family val="2"/>
          </rPr>
          <t xml:space="preserve">
</t>
        </r>
      </text>
    </comment>
    <comment ref="H19" authorId="0" shapeId="0">
      <text>
        <r>
          <rPr>
            <b/>
            <sz val="8"/>
            <color indexed="81"/>
            <rFont val="Tahoma"/>
            <family val="2"/>
          </rPr>
          <t>Scaling factor to account for difference in usage profiles
(a) Thin Clients and Light CAD -  1.5
(b) Moderate CAD - 2
© High CAD usage - 3+</t>
        </r>
      </text>
    </comment>
    <comment ref="H20" authorId="1" shapeId="0">
      <text>
        <r>
          <rPr>
            <b/>
            <sz val="8"/>
            <color indexed="81"/>
            <rFont val="Tahoma"/>
            <family val="2"/>
          </rPr>
          <t>Scaling factor to account for difference in usage profiles
(a) Thin Clients and Light CAD -  1.5
(b) Moderate CAD - 2
© High CAD usage - 3+</t>
        </r>
        <r>
          <rPr>
            <sz val="8"/>
            <color indexed="81"/>
            <rFont val="Tahoma"/>
            <family val="2"/>
          </rPr>
          <t xml:space="preserve">
</t>
        </r>
      </text>
    </comment>
    <comment ref="A21" authorId="1" shapeId="0">
      <text>
        <r>
          <rPr>
            <b/>
            <sz val="8"/>
            <color indexed="81"/>
            <rFont val="Tahoma"/>
            <family val="2"/>
          </rPr>
          <t>Certain Teamcenter modules/integrations acquire a second tcserver.  
Ex: Tc8.3 Visualization</t>
        </r>
        <r>
          <rPr>
            <sz val="8"/>
            <color indexed="81"/>
            <rFont val="Tahoma"/>
            <family val="2"/>
          </rPr>
          <t xml:space="preserve">
</t>
        </r>
        <r>
          <rPr>
            <b/>
            <sz val="8"/>
            <color indexed="81"/>
            <rFont val="Tahoma"/>
            <family val="2"/>
          </rPr>
          <t xml:space="preserve">Enter number of named users with such  usage
Will impact memory calculation only  </t>
        </r>
      </text>
    </comment>
    <comment ref="D29" authorId="1" shapeId="0">
      <text>
        <r>
          <rPr>
            <sz val="8"/>
            <color indexed="81"/>
            <rFont val="Tahoma"/>
            <family val="2"/>
          </rPr>
          <t xml:space="preserve">
Formula:
(Num4TConcurrentUsers*SDRperUserforRAC+NumWCConcurrentUsers*SDRperUserforThin)*ScalingFactor/PeakCPU</t>
        </r>
      </text>
    </comment>
    <comment ref="D30" authorId="1" shapeId="0">
      <text>
        <r>
          <rPr>
            <b/>
            <sz val="8"/>
            <color indexed="81"/>
            <rFont val="Tahoma"/>
            <family val="2"/>
          </rPr>
          <t>Formula:
((Num4TConcurrentUsers+Num4T2ConcuurentUsers)*MemperUserMBForRAC+NumWCConcurrentUsers*MemperUserMBForThin)*ScalingFactor/(PeakMem*1024)</t>
        </r>
        <r>
          <rPr>
            <sz val="8"/>
            <color indexed="81"/>
            <rFont val="Tahoma"/>
            <family val="2"/>
          </rPr>
          <t xml:space="preserve">
</t>
        </r>
      </text>
    </comment>
    <comment ref="F30" authorId="1" shapeId="0">
      <text>
        <r>
          <rPr>
            <sz val="8"/>
            <color indexed="81"/>
            <rFont val="Tahoma"/>
            <family val="2"/>
          </rPr>
          <t>(a) Kernel Minimum: 2GB Win;  4GB Unix; 
(b) For HPUX and AIX, reserve at least 10% of total memory for file buffer cache</t>
        </r>
      </text>
    </comment>
    <comment ref="D37" authorId="1" shapeId="0">
      <text>
        <r>
          <rPr>
            <b/>
            <sz val="8"/>
            <color indexed="81"/>
            <rFont val="Tahoma"/>
            <family val="2"/>
          </rPr>
          <t>Formula:
(Num4TConcurrentUsers*SDRperUser*ScalingFactor)/PeakCPU</t>
        </r>
        <r>
          <rPr>
            <sz val="8"/>
            <color indexed="81"/>
            <rFont val="Tahoma"/>
            <family val="2"/>
          </rPr>
          <t xml:space="preserve">
</t>
        </r>
      </text>
    </comment>
    <comment ref="F38" authorId="1" shapeId="0">
      <text>
        <r>
          <rPr>
            <b/>
            <sz val="8"/>
            <color indexed="81"/>
            <rFont val="Tahoma"/>
            <family val="2"/>
          </rPr>
          <t>(a) 2GB minimum
(b) For AIX, reserve at least 10% of total memory for buffer cache</t>
        </r>
        <r>
          <rPr>
            <sz val="8"/>
            <color indexed="81"/>
            <rFont val="Tahoma"/>
            <family val="2"/>
          </rPr>
          <t xml:space="preserve">
</t>
        </r>
      </text>
    </comment>
    <comment ref="D49" authorId="1" shapeId="0">
      <text>
        <r>
          <rPr>
            <b/>
            <sz val="8"/>
            <color indexed="81"/>
            <rFont val="Tahoma"/>
            <family val="2"/>
          </rPr>
          <t>Formula:
(NumConcurrentUsers*SDRperUser*ScalingFactor)/PeakCPU</t>
        </r>
        <r>
          <rPr>
            <sz val="8"/>
            <color indexed="81"/>
            <rFont val="Tahoma"/>
            <family val="2"/>
          </rPr>
          <t xml:space="preserve">
</t>
        </r>
      </text>
    </comment>
    <comment ref="F50" authorId="1" shapeId="0">
      <text>
        <r>
          <rPr>
            <b/>
            <sz val="8"/>
            <color indexed="81"/>
            <rFont val="Tahoma"/>
            <family val="2"/>
          </rPr>
          <t>(a) 2GB minimum
(b) For HPUX and AIX, reserve at least 10% of total memory for buffer cache</t>
        </r>
      </text>
    </comment>
    <comment ref="G56" authorId="1" shapeId="0">
      <text>
        <r>
          <rPr>
            <sz val="8"/>
            <color indexed="81"/>
            <rFont val="Tahoma"/>
            <family val="2"/>
          </rPr>
          <t xml:space="preserve">Refer to FMS Baseline Sizing criteria and modify Scaling Factor based on expected 
</t>
        </r>
      </text>
    </comment>
    <comment ref="F58" authorId="1" shapeId="0">
      <text>
        <r>
          <rPr>
            <sz val="8"/>
            <color indexed="81"/>
            <rFont val="Tahoma"/>
            <family val="2"/>
          </rPr>
          <t xml:space="preserve">(a) Kernel: Minimum: 2GB Windows;  
(b) File Buffer Cache:
Minimum - 4GB Windows
</t>
        </r>
      </text>
    </comment>
  </commentList>
</comments>
</file>

<file path=xl/comments4.xml><?xml version="1.0" encoding="utf-8"?>
<comments xmlns="http://schemas.openxmlformats.org/spreadsheetml/2006/main">
  <authors>
    <author>Xu, Kevin</author>
    <author>Chris Diener</author>
    <author>Ramesh Venugopal</author>
  </authors>
  <commentList>
    <comment ref="C9" authorId="0" shapeId="0">
      <text>
        <r>
          <rPr>
            <b/>
            <sz val="9"/>
            <color indexed="81"/>
            <rFont val="Tahoma"/>
            <family val="2"/>
          </rPr>
          <t>SPECint_Rates are not available for AWS systems as Amazon does not disclose the actual model information for their installations (like most other cloud providers). Instead, Amazon considers a single 2.0GHz core as a one „Amazon Compute Unit‟, or ACU. A single 3.0GHz core is considered 1.5 ACUs, etc.</t>
        </r>
      </text>
    </comment>
    <comment ref="A17" authorId="1" shapeId="0">
      <text>
        <r>
          <rPr>
            <b/>
            <sz val="8"/>
            <color indexed="81"/>
            <rFont val="Tahoma"/>
            <family val="2"/>
          </rPr>
          <t>This will provide the most accurate results, if client breakdown is understood.</t>
        </r>
      </text>
    </comment>
    <comment ref="H18" authorId="2" shapeId="0">
      <text>
        <r>
          <rPr>
            <b/>
            <sz val="8"/>
            <color indexed="81"/>
            <rFont val="Tahoma"/>
            <family val="2"/>
          </rPr>
          <t>Desired Peak Value of CPU and Memory at full user load</t>
        </r>
        <r>
          <rPr>
            <sz val="8"/>
            <color indexed="81"/>
            <rFont val="Tahoma"/>
            <family val="2"/>
          </rPr>
          <t xml:space="preserve">
</t>
        </r>
      </text>
    </comment>
    <comment ref="H19" authorId="1" shapeId="0">
      <text>
        <r>
          <rPr>
            <b/>
            <sz val="8"/>
            <color indexed="81"/>
            <rFont val="Tahoma"/>
            <family val="2"/>
          </rPr>
          <t>Scaling factor to account for difference in usage profiles
(a) Thin Clients and Light CAD -  1.5
(b) Moderate CAD - 2
© High CAD usage - 3+</t>
        </r>
      </text>
    </comment>
    <comment ref="H20" authorId="2" shapeId="0">
      <text>
        <r>
          <rPr>
            <b/>
            <sz val="8"/>
            <color indexed="81"/>
            <rFont val="Tahoma"/>
            <family val="2"/>
          </rPr>
          <t>Scaling factor to account for difference in usage profiles
(a) Thin Clients and Light CAD -  1.5
(b) Moderate CAD - 2
© High CAD usage - 3+</t>
        </r>
        <r>
          <rPr>
            <sz val="8"/>
            <color indexed="81"/>
            <rFont val="Tahoma"/>
            <family val="2"/>
          </rPr>
          <t xml:space="preserve">
</t>
        </r>
      </text>
    </comment>
    <comment ref="A21" authorId="2" shapeId="0">
      <text>
        <r>
          <rPr>
            <b/>
            <sz val="8"/>
            <color indexed="81"/>
            <rFont val="Tahoma"/>
            <family val="2"/>
          </rPr>
          <t>Certain Teamcenter modules/integrations acquire a second tcserver.  
Ex: Tc8.3 Visualization</t>
        </r>
        <r>
          <rPr>
            <sz val="8"/>
            <color indexed="81"/>
            <rFont val="Tahoma"/>
            <family val="2"/>
          </rPr>
          <t xml:space="preserve">
</t>
        </r>
        <r>
          <rPr>
            <b/>
            <sz val="8"/>
            <color indexed="81"/>
            <rFont val="Tahoma"/>
            <family val="2"/>
          </rPr>
          <t xml:space="preserve">Enter number of named users with such  usage
Will impact memory calculation only  </t>
        </r>
      </text>
    </comment>
    <comment ref="F28" authorId="2" shapeId="0">
      <text>
        <r>
          <rPr>
            <sz val="8"/>
            <color indexed="81"/>
            <rFont val="Tahoma"/>
            <family val="2"/>
          </rPr>
          <t>(a) Kernel Minimum: 2GB Win;  4GB Unix; 
(b) For HPUX and AIX, reserve at least 10% of total memory for file buffer cache</t>
        </r>
      </text>
    </comment>
    <comment ref="F36" authorId="2" shapeId="0">
      <text>
        <r>
          <rPr>
            <b/>
            <sz val="8"/>
            <color indexed="81"/>
            <rFont val="Tahoma"/>
            <family val="2"/>
          </rPr>
          <t>(a) 2GB minimum
(b) For AIX, reserve at least 10% of total memory for buffer cache</t>
        </r>
        <r>
          <rPr>
            <sz val="8"/>
            <color indexed="81"/>
            <rFont val="Tahoma"/>
            <family val="2"/>
          </rPr>
          <t xml:space="preserve">
</t>
        </r>
      </text>
    </comment>
    <comment ref="F44" authorId="2" shapeId="0">
      <text>
        <r>
          <rPr>
            <b/>
            <sz val="8"/>
            <color indexed="81"/>
            <rFont val="Tahoma"/>
            <family val="2"/>
          </rPr>
          <t>(a) 2GB minimum
(b) For HPUX and AIX, reserve at least 10% of total memory for buffer cache</t>
        </r>
      </text>
    </comment>
    <comment ref="F52" authorId="2" shapeId="0">
      <text>
        <r>
          <rPr>
            <sz val="8"/>
            <color indexed="81"/>
            <rFont val="Tahoma"/>
            <family val="2"/>
          </rPr>
          <t xml:space="preserve">(a) Kernel: Minimum: 2GB Windows;  
(b) File Buffer Cache:
Minimum - 4GB Windows
</t>
        </r>
      </text>
    </comment>
  </commentList>
</comments>
</file>

<file path=xl/sharedStrings.xml><?xml version="1.0" encoding="utf-8"?>
<sst xmlns="http://schemas.openxmlformats.org/spreadsheetml/2006/main" count="1006" uniqueCount="251">
  <si>
    <t>Software Copyright and Trademark Notices</t>
  </si>
  <si>
    <t>© 2011 Siemens Product Lifecycle Management Software Inc.  All Rights Reserved. No part of this document may be copied, reprinted, or distributed without the written permission of Siemens Product Lifecycle Management Software Inc (“Siemens PLM Software”), except that entities with a Teamcenter Maintenance Agreement in force may reproduce this document for their internal use only.</t>
  </si>
  <si>
    <t>Siemens PLM Software Teamcenter and Transforming the process of innovation are trademarks or registered trademarks of Siemens PLM Software or its subsidiaries in the US and in other countries.  Adobe and Acrobat are either registered trademarks or trademarks of Adobe Systems Incorporated in the United States and/or other countries.  All other trademarks or registered trademarks belong to their respective holders.</t>
  </si>
  <si>
    <t>This software and related documentation are proprietary to Siemens PLM Software.</t>
  </si>
  <si>
    <r>
      <t xml:space="preserve">For Teamcenter Customer Support, contact the </t>
    </r>
    <r>
      <rPr>
        <b/>
        <i/>
        <sz val="12"/>
        <rFont val="Times New Roman"/>
        <family val="1"/>
      </rPr>
      <t xml:space="preserve">Siemens PLMS Global Technical Access Center </t>
    </r>
    <r>
      <rPr>
        <sz val="12"/>
        <rFont val="Times New Roman"/>
        <family val="1"/>
      </rPr>
      <t>at</t>
    </r>
  </si>
  <si>
    <t>800-955-0000 or http://support.ugs.com.</t>
  </si>
  <si>
    <t>Printed in the United States of America. 7/5/12</t>
  </si>
  <si>
    <t>Disclaimer</t>
  </si>
  <si>
    <r>
      <t xml:space="preserve">This document is intended to provide hardware sizing estimation for pilot implementations based on Teamcenter Deployment Guide guidelines.  Siemens PLM Software is providing this information as is, without warranty of any kind.  </t>
    </r>
    <r>
      <rPr>
        <b/>
        <sz val="12"/>
        <rFont val="Times New Roman"/>
        <family val="1"/>
      </rPr>
      <t>SIEMENS PLM SOFTWARE hereby disclaims and assumes no responsibility or liability for any results that occur due to the use of the information contained in this document</t>
    </r>
    <r>
      <rPr>
        <sz val="12"/>
        <rFont val="Times New Roman"/>
        <family val="1"/>
      </rPr>
      <t xml:space="preserve">.  </t>
    </r>
  </si>
  <si>
    <t>Version</t>
  </si>
  <si>
    <t>Date</t>
  </si>
  <si>
    <t>Changes</t>
  </si>
  <si>
    <t>Author</t>
  </si>
  <si>
    <t>V 1.0</t>
  </si>
  <si>
    <t>1.0 released based on TC 2007</t>
  </si>
  <si>
    <t>V 1.1</t>
  </si>
  <si>
    <t xml:space="preserve">Several </t>
  </si>
  <si>
    <t>Many thanks to several authors of previous similar spreadsheets - whose contributions have been used in the formatting of this new version.</t>
  </si>
  <si>
    <t>V2.0</t>
  </si>
  <si>
    <t>Fully revised format</t>
  </si>
  <si>
    <t>Ramesh Venugopal</t>
  </si>
  <si>
    <t>V2.1</t>
  </si>
  <si>
    <t>Updated with Tc9.1</t>
  </si>
  <si>
    <t>V2.2</t>
  </si>
  <si>
    <t>JVM update</t>
  </si>
  <si>
    <t>SIZING SPREADSHEET USAGE GUIDE</t>
  </si>
  <si>
    <r>
      <t xml:space="preserve">(1) This spreadsheet is designed to provide an initial CPU/Memory sizing estimate for Teamcenter server tiers based on the number of expected concurrent users. </t>
    </r>
    <r>
      <rPr>
        <b/>
        <sz val="12"/>
        <rFont val="Arial"/>
        <family val="2"/>
      </rPr>
      <t xml:space="preserve">  </t>
    </r>
    <r>
      <rPr>
        <b/>
        <sz val="12"/>
        <color rgb="FFFF0000"/>
        <rFont val="Arial"/>
        <family val="2"/>
      </rPr>
      <t>This spreadsheet is for Siemens PLM Internal Use ONLY.</t>
    </r>
  </si>
  <si>
    <t>(3) PRE-REQUISITES for using this spreadsheet calculator:
(a) Teamcenter deployment architecture that defines how the different tiers are distributed should be designed
(b) For each client type, the number of concurrent users (logged-in users) data is required
(c) For each server tier, the planned platform (operating system) should be defined
(d) To determine the appropriate scaling factor to use, the expected usage profile should be defined and understood
(e) If planning for upgrades from an existing Teamcenter version, factor the usage metrics of the existing installation along with the sizing guidelines provided by this spreadsheet to estimate requirements</t>
  </si>
  <si>
    <t xml:space="preserve">(4) CAVEATS for using this spreadsheet calculator:
(a) Data generated by this spreadsheet should only be used for initial rough estimation of hardware only.  It is strongly recommended to test with the expected usage-profile and corresponding resource metrics to finalize hardware. 
(b) SIEMENS PLM SOFTWARE hereby disclaims and assumes no responsibility or liability for any results that occur due to the use of the information contained in this document.  </t>
  </si>
  <si>
    <t>(6) CONTACTS: For additional help with Teamcenter infrastructure design and sizing, please contact:
     Len Carlson in Americas at len.carlson@siemens.com
     Barry Yip in Asia/Pacific at barry.yip@siemens.com
     Ramesh Venugopal at ramesh.venugopal@siemens.com</t>
  </si>
  <si>
    <t>BASELINE DATA FROM DEPLOYMENT GUIDE - DO NOT EDIT</t>
  </si>
  <si>
    <t>TEAMCENTER 8.3 BASELINE SIZING DATA FROM DEPLOYMENT GUIDE</t>
  </si>
  <si>
    <t>Tc8.3 EnterpriseTier</t>
  </si>
  <si>
    <t>Tc8.3 Web Tier</t>
  </si>
  <si>
    <t>Tc8.3 Oracle</t>
  </si>
  <si>
    <t>Tc8.3 SQL Server</t>
  </si>
  <si>
    <t>Peak SIR06</t>
  </si>
  <si>
    <t>Avg SIR06</t>
  </si>
  <si>
    <t>Memory MB</t>
  </si>
  <si>
    <t>AIX</t>
  </si>
  <si>
    <t>N/A</t>
  </si>
  <si>
    <t>N /A</t>
  </si>
  <si>
    <t>HPUX</t>
  </si>
  <si>
    <t>Solaris</t>
  </si>
  <si>
    <t>SuSE Linux</t>
  </si>
  <si>
    <t>Windows</t>
  </si>
  <si>
    <t>Database Memory</t>
  </si>
  <si>
    <t>Oracle (Non-cluster)</t>
  </si>
  <si>
    <t>SQL (GB)</t>
  </si>
  <si>
    <t>Large</t>
  </si>
  <si>
    <t>Medium</t>
  </si>
  <si>
    <t>Small</t>
  </si>
  <si>
    <t xml:space="preserve"> Teamcenter Server Sizing Estimator</t>
  </si>
  <si>
    <t>Version:</t>
  </si>
  <si>
    <t>SIEMENS PLM Internal Use ONLY</t>
  </si>
  <si>
    <t>Teamcenter Versions</t>
  </si>
  <si>
    <t>8.3</t>
  </si>
  <si>
    <t>Supported Platforms</t>
  </si>
  <si>
    <t>Databases</t>
  </si>
  <si>
    <t>Oracle</t>
  </si>
  <si>
    <t>SQL Server</t>
  </si>
  <si>
    <t>Sizing Methods</t>
  </si>
  <si>
    <t>Peak</t>
  </si>
  <si>
    <t>uses sizing based on peak values seen during baseline testing(default)</t>
  </si>
  <si>
    <t>Average</t>
  </si>
  <si>
    <t>uses sizing based on average values seen during baseline testing</t>
  </si>
  <si>
    <t>Legend</t>
  </si>
  <si>
    <t>SIR06</t>
  </si>
  <si>
    <t>SPECint_rate_base2006</t>
  </si>
  <si>
    <t>Usage</t>
  </si>
  <si>
    <t>Orange</t>
  </si>
  <si>
    <t>- User defined field, modification expected / allowed.</t>
  </si>
  <si>
    <t>Blue</t>
  </si>
  <si>
    <t>- Defined system field, modify with caution</t>
  </si>
  <si>
    <t>TO BE USED FOR INITIAL SIZING GUIDANCE ONLY - CONTACT SPLM SERVICES FOR VALIDATION</t>
  </si>
  <si>
    <t>Input Parameters</t>
  </si>
  <si>
    <t>Teamcenter Version:-&gt;</t>
  </si>
  <si>
    <t>Sizing method:-&gt;</t>
  </si>
  <si>
    <t xml:space="preserve"> Client Type (Named Users)</t>
  </si>
  <si>
    <t>Concurrency Estimate</t>
  </si>
  <si>
    <t>2-Tier Rich Client:</t>
  </si>
  <si>
    <t>2-Tier RAC</t>
  </si>
  <si>
    <t>Scaling Factor Guidance</t>
  </si>
  <si>
    <t>4-Tier Rich Client:</t>
  </si>
  <si>
    <t>4-Tier RAC</t>
  </si>
  <si>
    <t>Thin Clients and Light CAD</t>
  </si>
  <si>
    <t>Thin (Web) Client:</t>
  </si>
  <si>
    <t>Thin Client</t>
  </si>
  <si>
    <t>Moderate CAD, Tc Industry Modules etc.</t>
  </si>
  <si>
    <t>3+</t>
  </si>
  <si>
    <t>Enterprise Tier Estimate</t>
  </si>
  <si>
    <t>Platform:</t>
  </si>
  <si>
    <t>Baseline CPU SIR06 Per User</t>
  </si>
  <si>
    <t>Baseline Memory MB Per User</t>
  </si>
  <si>
    <t>Required CPU SPECintRate06</t>
  </si>
  <si>
    <t>Required Application RAM - GB</t>
  </si>
  <si>
    <t>Plus System Memory</t>
  </si>
  <si>
    <t>Web Tier Estimate</t>
  </si>
  <si>
    <t>Web Application</t>
  </si>
  <si>
    <t>32-bit</t>
  </si>
  <si>
    <t>64-bit</t>
  </si>
  <si>
    <t>Baseline Memory per 500 Users</t>
  </si>
  <si>
    <t>GB</t>
  </si>
  <si>
    <t>Database Tier Estimate</t>
  </si>
  <si>
    <t>Type</t>
  </si>
  <si>
    <t>Database Size</t>
  </si>
  <si>
    <t>FMS-Volume (No Cache) Tier Estimate</t>
  </si>
  <si>
    <t xml:space="preserve"> </t>
  </si>
  <si>
    <t xml:space="preserve">Baseline CPU SIR06 </t>
  </si>
  <si>
    <t>FMS Baseline Sizing - Activity Per Hour</t>
  </si>
  <si>
    <t>Baseline Memory for system</t>
  </si>
  <si>
    <t>Exports (open)</t>
  </si>
  <si>
    <t>FMS-Volume Scaling Factor</t>
  </si>
  <si>
    <t>Imports(creates)</t>
  </si>
  <si>
    <t>Deletes</t>
  </si>
  <si>
    <t>Required Volume RAM - GB</t>
  </si>
  <si>
    <t>Prepared For:</t>
  </si>
  <si>
    <t>&lt;Customer Name and Location&gt;</t>
  </si>
  <si>
    <t>Prepared By:</t>
  </si>
  <si>
    <t>Date:</t>
  </si>
  <si>
    <t>Reviewed By</t>
  </si>
  <si>
    <t>Peak CPU/Mem</t>
  </si>
  <si>
    <t>V2.5</t>
  </si>
  <si>
    <r>
      <t>Baseline SGA (</t>
    </r>
    <r>
      <rPr>
        <sz val="12"/>
        <color rgb="FFFF0000"/>
        <rFont val="Arial"/>
        <family val="2"/>
      </rPr>
      <t>INITIAL GUIDANCE</t>
    </r>
    <r>
      <rPr>
        <sz val="12"/>
        <rFont val="Arial"/>
        <family val="2"/>
      </rPr>
      <t>)</t>
    </r>
  </si>
  <si>
    <t>Second tcserver</t>
  </si>
  <si>
    <t>2nd tcserver</t>
  </si>
  <si>
    <t>High CAD usage, Manufacturing etc.</t>
  </si>
  <si>
    <t>SGA Sizing is only for initial guidance;  Plan for monitoring and sizing according to actual usage</t>
  </si>
  <si>
    <t>OraSGAMem, 2ndTcserver</t>
  </si>
  <si>
    <t>Database Size Guidance</t>
  </si>
  <si>
    <t>tens of GB and/ora tens of users</t>
  </si>
  <si>
    <t>few hundreds of GB and/or users</t>
  </si>
  <si>
    <t>high hundreds+ of GB and/or users</t>
  </si>
  <si>
    <t>v2.6</t>
  </si>
  <si>
    <t>Corrected Tc83 SQL Server Database Baseline SIR06</t>
  </si>
  <si>
    <t>Scale Factors</t>
  </si>
  <si>
    <t>CPU</t>
  </si>
  <si>
    <t xml:space="preserve">Memory </t>
  </si>
  <si>
    <t>Separate scaling factors for CPU and Memory</t>
  </si>
  <si>
    <t>v2.7</t>
  </si>
  <si>
    <t>v2.8</t>
  </si>
  <si>
    <t>Update Tc8.3Baseline from Tc91DeploymentGuide</t>
  </si>
  <si>
    <t>Tc8.3 Notes</t>
  </si>
  <si>
    <t xml:space="preserve"> NOTE: Poolserver Memory on AIX assumes use of IBM Active Memory Expansion(Dep Guide)</t>
  </si>
  <si>
    <t>(5) For latest version of this spreadsheet, refer to the following SPLM Internal site: https://mycommunity.ugs.com/products/tc/infrastructure/cgp/plminfraperf/Shared%20Documents/Forms/AllItems.aspx</t>
  </si>
  <si>
    <t>If not using IBM AME, use 2x the recommended memory</t>
  </si>
  <si>
    <t>v2.9</t>
  </si>
  <si>
    <t>William Hull</t>
  </si>
  <si>
    <t>Corrected Tc83 Oracle Database Solaris SIR06 values</t>
  </si>
  <si>
    <t>v3.0</t>
  </si>
  <si>
    <t>Updated with Tc10.1 prelim sizing data (APA)</t>
  </si>
  <si>
    <t>Ref:</t>
  </si>
  <si>
    <t>WEB Tier</t>
  </si>
  <si>
    <t>Peak SIR2006</t>
  </si>
  <si>
    <t>Avg SIR2006</t>
  </si>
  <si>
    <t>SWAP MB</t>
  </si>
  <si>
    <t>TC Tier</t>
  </si>
  <si>
    <t>Rich Client</t>
  </si>
  <si>
    <t>AIX DB2</t>
  </si>
  <si>
    <t>Solaris ORA</t>
  </si>
  <si>
    <t>Suse ORA</t>
  </si>
  <si>
    <t>Windows ORA</t>
  </si>
  <si>
    <t>Windows SQL</t>
  </si>
  <si>
    <t>DB Tier</t>
  </si>
  <si>
    <t>10.1 Note:</t>
  </si>
  <si>
    <t>For AIX, effective memory requirement with AME Expansion Factor = 2.0x</t>
  </si>
  <si>
    <t>AIX ORA</t>
  </si>
  <si>
    <t>10.1</t>
  </si>
  <si>
    <t>Baseline CPU SIR06 Per User for Rich Client</t>
  </si>
  <si>
    <t>Baseline CPU SIR06 Per User for Thin Client</t>
  </si>
  <si>
    <t>Baseline Memory MB Per User for Rich Client</t>
  </si>
  <si>
    <t>Baseline Memory MB Per User for Thin Client</t>
  </si>
  <si>
    <t>DB2</t>
  </si>
  <si>
    <t>Websphere</t>
  </si>
  <si>
    <t>Weblogic</t>
  </si>
  <si>
    <t>JBOSS</t>
  </si>
  <si>
    <t>IIS</t>
  </si>
  <si>
    <t>bit</t>
  </si>
  <si>
    <t>Web Application:</t>
  </si>
  <si>
    <t>ORACLE</t>
  </si>
  <si>
    <t>DB Application</t>
  </si>
  <si>
    <t>v3.1</t>
  </si>
  <si>
    <t>Add sizing for TC10.1</t>
  </si>
  <si>
    <t>Oracle(non-cluster)</t>
  </si>
  <si>
    <t>3.2</t>
  </si>
  <si>
    <t>v3.2</t>
  </si>
  <si>
    <t>9.1</t>
  </si>
  <si>
    <t>Volume</t>
  </si>
  <si>
    <t>Avg</t>
  </si>
  <si>
    <t>windows</t>
  </si>
  <si>
    <t>Suse</t>
  </si>
  <si>
    <t>Kevin Xu</t>
  </si>
  <si>
    <t>Platforms</t>
  </si>
  <si>
    <t>Cloud Provider</t>
  </si>
  <si>
    <t>Amazon</t>
  </si>
  <si>
    <t>ACU</t>
  </si>
  <si>
    <t>Baseline CPU ACU Per User for Thin Client</t>
  </si>
  <si>
    <t>EnterpriseTier</t>
  </si>
  <si>
    <t>Web Tier</t>
  </si>
  <si>
    <t>FMS</t>
  </si>
  <si>
    <t>AWS for Thin Client</t>
  </si>
  <si>
    <t>Required Application RAM - GB for Thin Client</t>
  </si>
  <si>
    <t>Required CPU ACU for Thin Client (2.0GHz)</t>
  </si>
  <si>
    <t>AWS (Amazon Web Service) Compute Units (2.0GHz)</t>
  </si>
  <si>
    <t xml:space="preserve"> Teamcenter Server Sizing Estimator (only for Thin Client)</t>
  </si>
  <si>
    <t>Update TC9.1Baseline
Update FMS/Volume estimate
Add sizing in the cloud for thin client on AWS</t>
  </si>
  <si>
    <t>v3.3</t>
  </si>
  <si>
    <t>Update TC9.1 baseline by using old method.
Merge TC9.1 sizing together with TC8.3 in one sheet.</t>
  </si>
  <si>
    <t>Mike Giambrone</t>
  </si>
  <si>
    <t>vMAG</t>
  </si>
  <si>
    <t>4.0</t>
  </si>
  <si>
    <t xml:space="preserve">Separates OS by AIX, HP-UX, and Win; 
Updates based on TC 8.3 and SPECint_rate2006; 
Updates OS memory reserved;
Adds FMS/Volume estimate;
Adds Oracle SGA/PGA ratio estimate; 
Adds concurrency activity ratio estimate; </t>
  </si>
  <si>
    <t>(2) This spreadsheet calculator uses published sizing numbers in the Teamcenter Deployment Guide that is based on a specific usage profile.  Additional scaling factors are provided as guidance to approximate expected load.  These factors should be  used with extreme caution and knowledge of the proposed deployment.</t>
  </si>
  <si>
    <t>http://apa/apa_l2.cfm</t>
  </si>
  <si>
    <t>Update 8.3Baseline data to deployment guide version 9.1r.
Separated Tc8.3 &amp; TC9.1 sizing, merging 9.1 with 10.1.</t>
  </si>
  <si>
    <t xml:space="preserve">Ref: </t>
  </si>
  <si>
    <t>TcDeploymentGuide_TcUA_9.1r.pdf</t>
  </si>
  <si>
    <t xml:space="preserve">Updated 10.1 Baseline data to deployment guide version 10.1t.
</t>
  </si>
  <si>
    <t>TcDeploymentGuide_TcUA_10.1t.pdf</t>
  </si>
  <si>
    <t>and</t>
  </si>
  <si>
    <t>APA lab runid 50905</t>
  </si>
  <si>
    <t>APA lab runid 50686</t>
  </si>
  <si>
    <t>APA lab runid 50765</t>
  </si>
  <si>
    <t>APA lab runid 50626</t>
  </si>
  <si>
    <t>APA lab runid 50624</t>
  </si>
  <si>
    <t>APA lab runid 50684 and 9.1r guide</t>
  </si>
  <si>
    <t>9.1 Note:</t>
  </si>
  <si>
    <t>Adjusted the TC 9.1 sizing approach to support client type
using deployment guide version 10.1t and the APA lab data 
(http://apa/apa_l2.cfm?productid=22).
Fixed row 31 notes lookup field</t>
  </si>
  <si>
    <t>APA lab runid 50905 and 9.1r guide</t>
  </si>
  <si>
    <t>APA lab runid 50624 and 9.1r guide</t>
  </si>
  <si>
    <t>APA lab runid 50684</t>
  </si>
  <si>
    <t>v4.2</t>
  </si>
  <si>
    <t>update  TC10.1Baseline. Correct basis value for Database server sizing on AIX platform. The value of AIX DB2 and AIX ORA exchanged.</t>
  </si>
  <si>
    <t>AIX ORA</t>
    <phoneticPr fontId="23" type="noConversion"/>
  </si>
  <si>
    <t>Peak</t>
    <phoneticPr fontId="23" type="noConversion"/>
  </si>
  <si>
    <t>SIR06</t>
    <phoneticPr fontId="23" type="noConversion"/>
  </si>
  <si>
    <t>SPECint_rate_base2006</t>
    <phoneticPr fontId="23" type="noConversion"/>
  </si>
  <si>
    <t>Windows SQL</t>
    <phoneticPr fontId="23" type="noConversion"/>
  </si>
  <si>
    <t>Supported Platforms</t>
    <phoneticPr fontId="23" type="noConversion"/>
  </si>
  <si>
    <t>FMS Baseline Sizing - Activity Per Hour</t>
    <phoneticPr fontId="23" type="noConversion"/>
  </si>
  <si>
    <t>11.2</t>
  </si>
  <si>
    <t>11.2</t>
    <phoneticPr fontId="24" type="noConversion"/>
  </si>
  <si>
    <t>AIX DB2</t>
    <phoneticPr fontId="24" type="noConversion"/>
  </si>
  <si>
    <t>Solaris ORA</t>
    <phoneticPr fontId="24" type="noConversion"/>
  </si>
  <si>
    <t>Windows ORA</t>
    <phoneticPr fontId="24" type="noConversion"/>
  </si>
  <si>
    <t>NA</t>
    <phoneticPr fontId="24" type="noConversion"/>
  </si>
  <si>
    <t>Rich Client</t>
    <phoneticPr fontId="24" type="noConversion"/>
  </si>
  <si>
    <t>the Rich Client usage profile is similar to but not exactly the same as the Thin Client usage profile.</t>
  </si>
  <si>
    <t>TcDeploymentGuide_TcUA_11.2z.pdf</t>
    <phoneticPr fontId="24" type="noConversion"/>
  </si>
  <si>
    <t>5</t>
    <phoneticPr fontId="24" type="noConversion"/>
  </si>
  <si>
    <t>rich client = thin client *1.1</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</si>
</sst>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quot;$&quot;* #,##0.00_);_(&quot;$&quot;* \(#,##0.00\);_(&quot;$&quot;* &quot;-&quot;??_);_(@_)"/>
    <numFmt numFmtId="177" formatCode="0.000"/>
    <numFmt numFmtId="178" formatCode="0.0000"/>
    <numFmt numFmtId="179" formatCode="0.00000"/>
    <numFmt numFmtId="180" formatCode="0.0"/>
  </numFmts>
  <fonts count="27" x14ac:knownFonts="1">
    <font>
      <sz val="11"/>
      <color theme="1"/>
      <name val="新細明體"/>
      <family val="2"/>
      <scheme val="minor"/>
    </font>
    <font>
      <sz val="10"/>
      <name val="Arial"/>
      <family val="2"/>
    </font>
    <font>
      <b/>
      <sz val="12"/>
      <name val="Times New Roman"/>
      <family val="1"/>
    </font>
    <font>
      <sz val="12"/>
      <name val="Times New Roman"/>
      <family val="1"/>
    </font>
    <font>
      <b/>
      <i/>
      <sz val="12"/>
      <name val="Times New Roman"/>
      <family val="1"/>
    </font>
    <font>
      <b/>
      <sz val="14"/>
      <name val="Times New Roman"/>
      <family val="1"/>
    </font>
    <font>
      <sz val="14"/>
      <name val="Times New Roman"/>
      <family val="1"/>
    </font>
    <font>
      <b/>
      <sz val="10"/>
      <name val="Arial"/>
      <family val="2"/>
    </font>
    <font>
      <b/>
      <sz val="12"/>
      <name val="Arial"/>
      <family val="2"/>
    </font>
    <font>
      <sz val="12"/>
      <name val="Arial"/>
      <family val="2"/>
    </font>
    <font>
      <b/>
      <sz val="12"/>
      <color rgb="FFFF0000"/>
      <name val="Arial"/>
      <family val="2"/>
    </font>
    <font>
      <sz val="18"/>
      <name val="Arial"/>
      <family val="2"/>
    </font>
    <font>
      <sz val="12"/>
      <color rgb="FFFF0000"/>
      <name val="Arial"/>
      <family val="2"/>
    </font>
    <font>
      <u/>
      <sz val="10"/>
      <color indexed="12"/>
      <name val="Arial"/>
      <family val="2"/>
    </font>
    <font>
      <u/>
      <sz val="14"/>
      <color indexed="12"/>
      <name val="Arial"/>
      <family val="2"/>
    </font>
    <font>
      <b/>
      <sz val="14"/>
      <name val="Arial"/>
      <family val="2"/>
    </font>
    <font>
      <u/>
      <sz val="12"/>
      <color indexed="12"/>
      <name val="Arial"/>
      <family val="2"/>
    </font>
    <font>
      <b/>
      <sz val="8"/>
      <color indexed="81"/>
      <name val="Tahoma"/>
      <family val="2"/>
    </font>
    <font>
      <sz val="8"/>
      <color indexed="81"/>
      <name val="Tahoma"/>
      <family val="2"/>
    </font>
    <font>
      <b/>
      <sz val="11"/>
      <color theme="1"/>
      <name val="新細明體"/>
      <family val="2"/>
      <scheme val="minor"/>
    </font>
    <font>
      <sz val="11"/>
      <color rgb="FFFF0000"/>
      <name val="新細明體"/>
      <family val="2"/>
      <scheme val="minor"/>
    </font>
    <font>
      <sz val="11"/>
      <name val="新細明體"/>
      <family val="2"/>
      <scheme val="minor"/>
    </font>
    <font>
      <b/>
      <sz val="9"/>
      <color indexed="81"/>
      <name val="Tahoma"/>
      <family val="2"/>
    </font>
    <font>
      <sz val="9"/>
      <name val="新細明體"/>
      <family val="3"/>
      <charset val="134"/>
      <scheme val="minor"/>
    </font>
    <font>
      <sz val="9"/>
      <name val="新細明體"/>
      <family val="3"/>
      <charset val="136"/>
      <scheme val="minor"/>
    </font>
    <font>
      <sz val="11"/>
      <color rgb="FFFF0000"/>
      <name val="新細明體"/>
      <family val="1"/>
      <charset val="136"/>
      <scheme val="minor"/>
    </font>
    <font>
      <b/>
      <sz val="11"/>
      <color rgb="FFFF0000"/>
      <name val="新細明體"/>
      <family val="1"/>
      <charset val="136"/>
      <scheme val="minor"/>
    </font>
  </fonts>
  <fills count="12">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theme="0" tint="-4.9989318521683403E-2"/>
        <bgColor indexed="64"/>
      </patternFill>
    </fill>
    <fill>
      <patternFill patternType="solid">
        <fgColor indexed="13"/>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176" fontId="1" fillId="0" borderId="0" applyFont="0" applyFill="0" applyBorder="0" applyAlignment="0" applyProtection="0"/>
    <xf numFmtId="0" fontId="13" fillId="0" borderId="0" applyNumberFormat="0" applyFill="0" applyBorder="0" applyAlignment="0" applyProtection="0">
      <alignment vertical="top"/>
      <protection locked="0"/>
    </xf>
  </cellStyleXfs>
  <cellXfs count="239">
    <xf numFmtId="0" fontId="0" fillId="0" borderId="0" xfId="0"/>
    <xf numFmtId="0" fontId="2" fillId="0" borderId="0" xfId="1" applyFont="1" applyAlignment="1">
      <alignment wrapText="1"/>
    </xf>
    <xf numFmtId="0" fontId="1" fillId="0" borderId="0" xfId="1"/>
    <xf numFmtId="0" fontId="3" fillId="0" borderId="0" xfId="1" applyFont="1" applyAlignment="1">
      <alignment wrapText="1"/>
    </xf>
    <xf numFmtId="0" fontId="3" fillId="0" borderId="0" xfId="1" applyFont="1" applyAlignment="1">
      <alignment horizontal="center" wrapText="1"/>
    </xf>
    <xf numFmtId="0" fontId="5" fillId="0" borderId="0" xfId="1" applyFont="1" applyAlignment="1">
      <alignment horizontal="center" wrapText="1"/>
    </xf>
    <xf numFmtId="0" fontId="6" fillId="0" borderId="0" xfId="1" applyFont="1" applyAlignment="1">
      <alignment horizontal="center" wrapText="1"/>
    </xf>
    <xf numFmtId="0" fontId="1" fillId="0" borderId="0" xfId="1" applyAlignment="1">
      <alignment wrapText="1"/>
    </xf>
    <xf numFmtId="0" fontId="5" fillId="0" borderId="0" xfId="1" applyFont="1" applyAlignment="1">
      <alignment wrapText="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horizontal="left"/>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wrapText="1"/>
    </xf>
    <xf numFmtId="0" fontId="8" fillId="3" borderId="1" xfId="0" applyFont="1" applyFill="1" applyBorder="1" applyAlignment="1">
      <alignment horizontal="center" wrapText="1"/>
    </xf>
    <xf numFmtId="0" fontId="9" fillId="0" borderId="1" xfId="0" applyFont="1" applyBorder="1" applyAlignment="1">
      <alignment wrapText="1"/>
    </xf>
    <xf numFmtId="0" fontId="9" fillId="0" borderId="0" xfId="0" applyFont="1" applyAlignment="1">
      <alignment wrapText="1"/>
    </xf>
    <xf numFmtId="0" fontId="0" fillId="0" borderId="0" xfId="0" applyFill="1"/>
    <xf numFmtId="0" fontId="0" fillId="0" borderId="2" xfId="0" applyBorder="1"/>
    <xf numFmtId="0" fontId="0" fillId="0" borderId="5" xfId="0" applyBorder="1"/>
    <xf numFmtId="0" fontId="0" fillId="0" borderId="0" xfId="0" applyBorder="1"/>
    <xf numFmtId="0" fontId="0" fillId="0" borderId="6" xfId="0" applyBorder="1"/>
    <xf numFmtId="0" fontId="0" fillId="3" borderId="0" xfId="0" applyFill="1" applyBorder="1"/>
    <xf numFmtId="0" fontId="0" fillId="4" borderId="0" xfId="0" applyFill="1" applyBorder="1"/>
    <xf numFmtId="0" fontId="0" fillId="5" borderId="0" xfId="0" applyFill="1" applyBorder="1"/>
    <xf numFmtId="0" fontId="0" fillId="6" borderId="0" xfId="0" applyFill="1" applyBorder="1"/>
    <xf numFmtId="0" fontId="0" fillId="6" borderId="6" xfId="0" applyFill="1" applyBorder="1"/>
    <xf numFmtId="0" fontId="0" fillId="0" borderId="7" xfId="0" applyBorder="1"/>
    <xf numFmtId="0" fontId="0" fillId="3" borderId="8" xfId="0" applyFill="1" applyBorder="1"/>
    <xf numFmtId="0" fontId="0" fillId="6" borderId="8" xfId="0" applyFill="1" applyBorder="1"/>
    <xf numFmtId="0" fontId="9" fillId="0" borderId="0" xfId="0" applyFont="1" applyBorder="1"/>
    <xf numFmtId="0" fontId="9" fillId="0" borderId="0" xfId="0" applyFont="1" applyFill="1" applyBorder="1"/>
    <xf numFmtId="0" fontId="9" fillId="2" borderId="0" xfId="0" applyFont="1" applyFill="1" applyBorder="1" applyAlignment="1" applyProtection="1">
      <alignment horizontal="left"/>
      <protection locked="0"/>
    </xf>
    <xf numFmtId="0" fontId="9" fillId="5" borderId="0" xfId="0" applyFont="1" applyFill="1" applyBorder="1" applyAlignment="1" applyProtection="1">
      <alignment horizontal="center"/>
      <protection locked="0"/>
    </xf>
    <xf numFmtId="0" fontId="9" fillId="2" borderId="1" xfId="0" applyFont="1" applyFill="1" applyBorder="1" applyAlignment="1" applyProtection="1">
      <alignment horizontal="center"/>
      <protection locked="0"/>
    </xf>
    <xf numFmtId="0" fontId="9" fillId="2" borderId="0" xfId="0" applyFont="1" applyFill="1" applyBorder="1" applyProtection="1">
      <protection locked="0"/>
    </xf>
    <xf numFmtId="0" fontId="14" fillId="0" borderId="1" xfId="3" applyFont="1" applyBorder="1" applyAlignment="1" applyProtection="1">
      <alignment horizontal="right"/>
    </xf>
    <xf numFmtId="0" fontId="16" fillId="0" borderId="9" xfId="3" applyFont="1" applyBorder="1" applyAlignment="1" applyProtection="1"/>
    <xf numFmtId="0" fontId="16" fillId="0" borderId="6" xfId="3" applyFont="1" applyBorder="1" applyAlignment="1" applyProtection="1"/>
    <xf numFmtId="0" fontId="14" fillId="0" borderId="1" xfId="3" applyFont="1" applyBorder="1" applyAlignment="1" applyProtection="1"/>
    <xf numFmtId="0" fontId="9" fillId="0" borderId="0" xfId="0" applyFont="1" applyAlignment="1" applyProtection="1"/>
    <xf numFmtId="0" fontId="9" fillId="0" borderId="0" xfId="0" applyFont="1" applyProtection="1"/>
    <xf numFmtId="0" fontId="9" fillId="0" borderId="2" xfId="0" applyFont="1" applyBorder="1" applyProtection="1"/>
    <xf numFmtId="0" fontId="9" fillId="0" borderId="3" xfId="0" applyFont="1" applyBorder="1" applyProtection="1"/>
    <xf numFmtId="49" fontId="9" fillId="0" borderId="3" xfId="0" applyNumberFormat="1" applyFont="1" applyFill="1" applyBorder="1" applyAlignment="1" applyProtection="1">
      <alignment horizontal="left" vertical="center"/>
    </xf>
    <xf numFmtId="0" fontId="8" fillId="3" borderId="3" xfId="0" applyFont="1" applyFill="1" applyBorder="1" applyProtection="1"/>
    <xf numFmtId="0" fontId="9" fillId="3" borderId="3" xfId="0" applyFont="1" applyFill="1" applyBorder="1" applyProtection="1"/>
    <xf numFmtId="14" fontId="9" fillId="3" borderId="3" xfId="0" applyNumberFormat="1" applyFont="1" applyFill="1" applyBorder="1" applyProtection="1"/>
    <xf numFmtId="0" fontId="9" fillId="0" borderId="4" xfId="0" applyFont="1" applyBorder="1" applyProtection="1"/>
    <xf numFmtId="0" fontId="9" fillId="0" borderId="0" xfId="0" applyFont="1" applyBorder="1" applyProtection="1"/>
    <xf numFmtId="0" fontId="9" fillId="0" borderId="5" xfId="0" applyFont="1" applyBorder="1" applyProtection="1"/>
    <xf numFmtId="49" fontId="9" fillId="0" borderId="0" xfId="0" applyNumberFormat="1" applyFont="1" applyFill="1" applyBorder="1" applyAlignment="1" applyProtection="1">
      <alignment horizontal="left" vertical="center"/>
    </xf>
    <xf numFmtId="49" fontId="9" fillId="0" borderId="0" xfId="0" applyNumberFormat="1" applyFont="1" applyBorder="1" applyProtection="1"/>
    <xf numFmtId="14" fontId="9" fillId="0" borderId="0" xfId="0" applyNumberFormat="1" applyFont="1" applyBorder="1" applyProtection="1"/>
    <xf numFmtId="0" fontId="9" fillId="0" borderId="6" xfId="0" applyFont="1" applyBorder="1" applyProtection="1"/>
    <xf numFmtId="0" fontId="9" fillId="0" borderId="0" xfId="0" applyFont="1" applyFill="1" applyBorder="1" applyProtection="1"/>
    <xf numFmtId="0" fontId="9" fillId="2" borderId="0" xfId="0" applyFont="1" applyFill="1" applyBorder="1" applyProtection="1"/>
    <xf numFmtId="0" fontId="9" fillId="0" borderId="0" xfId="0" quotePrefix="1" applyFont="1" applyBorder="1" applyProtection="1"/>
    <xf numFmtId="0" fontId="9" fillId="5" borderId="0" xfId="0" applyFont="1" applyFill="1" applyBorder="1" applyProtection="1"/>
    <xf numFmtId="0" fontId="8" fillId="0" borderId="7" xfId="0" applyFont="1" applyBorder="1" applyProtection="1"/>
    <xf numFmtId="0" fontId="9" fillId="0" borderId="8" xfId="0" applyFont="1" applyBorder="1" applyProtection="1"/>
    <xf numFmtId="0" fontId="9" fillId="0" borderId="8" xfId="0" applyFont="1" applyFill="1" applyBorder="1" applyProtection="1"/>
    <xf numFmtId="0" fontId="9" fillId="0" borderId="8" xfId="0" quotePrefix="1" applyFont="1" applyBorder="1" applyProtection="1"/>
    <xf numFmtId="0" fontId="9" fillId="0" borderId="9" xfId="0" applyFont="1" applyBorder="1" applyProtection="1"/>
    <xf numFmtId="0" fontId="12" fillId="0" borderId="0" xfId="0" applyFont="1" applyProtection="1"/>
    <xf numFmtId="1" fontId="0" fillId="0" borderId="0" xfId="0" applyNumberFormat="1" applyProtection="1"/>
    <xf numFmtId="0" fontId="9" fillId="0" borderId="1" xfId="0" applyFont="1" applyBorder="1" applyAlignment="1" applyProtection="1">
      <alignment horizontal="left"/>
    </xf>
    <xf numFmtId="0" fontId="9" fillId="0" borderId="1" xfId="0" applyFont="1" applyBorder="1" applyAlignment="1" applyProtection="1">
      <alignment horizontal="center"/>
    </xf>
    <xf numFmtId="0" fontId="9" fillId="0" borderId="0" xfId="0" applyFont="1" applyBorder="1" applyAlignment="1" applyProtection="1">
      <alignment horizontal="center"/>
    </xf>
    <xf numFmtId="0" fontId="9" fillId="0" borderId="10" xfId="0" applyFont="1" applyBorder="1" applyAlignment="1" applyProtection="1">
      <alignment horizontal="left"/>
    </xf>
    <xf numFmtId="0" fontId="9" fillId="0" borderId="11" xfId="0" applyFont="1" applyBorder="1" applyAlignment="1" applyProtection="1">
      <alignment horizontal="center"/>
    </xf>
    <xf numFmtId="0" fontId="9" fillId="0" borderId="0" xfId="0" applyFont="1" applyBorder="1" applyAlignment="1" applyProtection="1">
      <alignment horizontal="left" indent="1"/>
    </xf>
    <xf numFmtId="0" fontId="9" fillId="0" borderId="1" xfId="0" applyFont="1" applyBorder="1" applyAlignment="1" applyProtection="1"/>
    <xf numFmtId="0" fontId="9" fillId="0" borderId="12" xfId="0" applyFont="1" applyBorder="1" applyAlignment="1" applyProtection="1">
      <alignment horizontal="left"/>
    </xf>
    <xf numFmtId="0" fontId="9" fillId="2" borderId="1" xfId="0" applyFont="1" applyFill="1" applyBorder="1" applyAlignment="1" applyProtection="1">
      <alignment horizontal="center"/>
    </xf>
    <xf numFmtId="0" fontId="9" fillId="7" borderId="5" xfId="0" applyFont="1" applyFill="1" applyBorder="1" applyProtection="1"/>
    <xf numFmtId="0" fontId="9" fillId="7" borderId="0" xfId="0" applyFont="1" applyFill="1" applyBorder="1" applyProtection="1"/>
    <xf numFmtId="0" fontId="9" fillId="7" borderId="6" xfId="0" applyFont="1" applyFill="1" applyBorder="1" applyProtection="1"/>
    <xf numFmtId="0" fontId="9" fillId="0" borderId="8" xfId="0" applyFont="1" applyFill="1" applyBorder="1" applyAlignment="1" applyProtection="1">
      <alignment horizontal="center"/>
    </xf>
    <xf numFmtId="0" fontId="9" fillId="0" borderId="9" xfId="0" applyFont="1" applyFill="1" applyBorder="1" applyProtection="1"/>
    <xf numFmtId="0" fontId="9" fillId="0" borderId="0" xfId="0" applyFont="1" applyFill="1" applyProtection="1"/>
    <xf numFmtId="0" fontId="9" fillId="7" borderId="7" xfId="0" applyFont="1" applyFill="1" applyBorder="1" applyProtection="1"/>
    <xf numFmtId="0" fontId="9" fillId="7" borderId="8" xfId="0" applyFont="1" applyFill="1" applyBorder="1" applyProtection="1"/>
    <xf numFmtId="0" fontId="9" fillId="7" borderId="9" xfId="0" applyFont="1" applyFill="1" applyBorder="1" applyAlignment="1" applyProtection="1">
      <alignment horizontal="right"/>
    </xf>
    <xf numFmtId="0" fontId="9" fillId="0" borderId="0" xfId="0" applyFont="1" applyBorder="1" applyAlignment="1" applyProtection="1">
      <alignment horizontal="right"/>
    </xf>
    <xf numFmtId="0" fontId="9" fillId="0" borderId="0" xfId="0" applyFont="1" applyFill="1" applyBorder="1" applyAlignment="1" applyProtection="1">
      <alignment horizontal="center"/>
    </xf>
    <xf numFmtId="0" fontId="9" fillId="0" borderId="1" xfId="0" applyFont="1" applyBorder="1" applyAlignment="1" applyProtection="1">
      <alignment horizontal="right"/>
    </xf>
    <xf numFmtId="0" fontId="9" fillId="0" borderId="1" xfId="0" applyFont="1" applyBorder="1" applyProtection="1"/>
    <xf numFmtId="0" fontId="15" fillId="0" borderId="1" xfId="0" applyFont="1" applyBorder="1" applyAlignment="1" applyProtection="1">
      <alignment horizontal="right"/>
    </xf>
    <xf numFmtId="0" fontId="9" fillId="0" borderId="8" xfId="0" applyFont="1" applyBorder="1" applyAlignment="1" applyProtection="1">
      <alignment horizontal="right"/>
    </xf>
    <xf numFmtId="0" fontId="9" fillId="0" borderId="0" xfId="0" applyFont="1" applyAlignment="1" applyProtection="1">
      <alignment horizontal="left"/>
    </xf>
    <xf numFmtId="0" fontId="9" fillId="0" borderId="5" xfId="0" applyFont="1" applyFill="1" applyBorder="1" applyAlignment="1" applyProtection="1">
      <alignment horizontal="left"/>
    </xf>
    <xf numFmtId="0" fontId="9" fillId="0" borderId="6" xfId="0" applyFont="1" applyFill="1" applyBorder="1" applyAlignment="1" applyProtection="1">
      <alignment horizontal="center"/>
    </xf>
    <xf numFmtId="0" fontId="15" fillId="0" borderId="1" xfId="0" applyFont="1" applyBorder="1" applyProtection="1"/>
    <xf numFmtId="0" fontId="8" fillId="0" borderId="0" xfId="0" applyFont="1" applyBorder="1" applyAlignment="1" applyProtection="1">
      <alignment horizontal="right"/>
    </xf>
    <xf numFmtId="0" fontId="9" fillId="0" borderId="7" xfId="0" applyFont="1" applyBorder="1" applyProtection="1"/>
    <xf numFmtId="0" fontId="9" fillId="0" borderId="8" xfId="0" applyFont="1" applyBorder="1" applyAlignment="1" applyProtection="1"/>
    <xf numFmtId="0" fontId="8" fillId="0" borderId="8" xfId="0" applyFont="1" applyBorder="1" applyProtection="1"/>
    <xf numFmtId="0" fontId="9" fillId="0" borderId="9" xfId="0" applyFont="1" applyBorder="1" applyAlignment="1" applyProtection="1"/>
    <xf numFmtId="0" fontId="0" fillId="0" borderId="0" xfId="0" applyNumberFormat="1" applyProtection="1"/>
    <xf numFmtId="0" fontId="9" fillId="7" borderId="9" xfId="0" applyFont="1" applyFill="1" applyBorder="1" applyProtection="1"/>
    <xf numFmtId="0" fontId="8" fillId="0" borderId="0" xfId="0" applyFont="1" applyBorder="1" applyProtection="1"/>
    <xf numFmtId="0" fontId="9" fillId="0" borderId="6" xfId="0" applyFont="1" applyBorder="1" applyAlignment="1" applyProtection="1"/>
    <xf numFmtId="0" fontId="9" fillId="0" borderId="7" xfId="0" applyFont="1" applyBorder="1" applyAlignment="1" applyProtection="1">
      <alignment horizontal="left"/>
    </xf>
    <xf numFmtId="0" fontId="9" fillId="0" borderId="0" xfId="0" applyFont="1" applyBorder="1" applyAlignment="1" applyProtection="1">
      <alignment horizontal="left"/>
    </xf>
    <xf numFmtId="0" fontId="9" fillId="0" borderId="0" xfId="0" applyFont="1" applyBorder="1" applyAlignment="1" applyProtection="1"/>
    <xf numFmtId="0" fontId="9" fillId="7" borderId="0" xfId="0" applyFont="1" applyFill="1" applyBorder="1" applyAlignment="1" applyProtection="1">
      <alignment horizontal="right"/>
    </xf>
    <xf numFmtId="0" fontId="9" fillId="0" borderId="5" xfId="0" applyFont="1" applyBorder="1" applyAlignment="1" applyProtection="1">
      <alignment horizontal="left"/>
    </xf>
    <xf numFmtId="0" fontId="9" fillId="0" borderId="8" xfId="0" applyFont="1" applyBorder="1" applyAlignment="1" applyProtection="1">
      <alignment horizontal="left"/>
    </xf>
    <xf numFmtId="0" fontId="8" fillId="0" borderId="8" xfId="0" applyFont="1" applyBorder="1" applyAlignment="1" applyProtection="1">
      <alignment horizontal="center"/>
    </xf>
    <xf numFmtId="0" fontId="9" fillId="0" borderId="0" xfId="0" applyFont="1" applyAlignment="1" applyProtection="1">
      <alignment horizontal="right"/>
    </xf>
    <xf numFmtId="0" fontId="8" fillId="0" borderId="0" xfId="0" applyFont="1" applyAlignment="1" applyProtection="1">
      <alignment horizontal="center"/>
    </xf>
    <xf numFmtId="14" fontId="9" fillId="0" borderId="13" xfId="0" applyNumberFormat="1" applyFont="1" applyFill="1" applyBorder="1" applyAlignment="1" applyProtection="1">
      <alignment horizontal="center"/>
    </xf>
    <xf numFmtId="14" fontId="9" fillId="0" borderId="1" xfId="0" applyNumberFormat="1" applyFont="1" applyFill="1" applyBorder="1" applyAlignment="1" applyProtection="1">
      <alignment horizontal="center"/>
    </xf>
    <xf numFmtId="0" fontId="9" fillId="0" borderId="0" xfId="0" applyFont="1" applyAlignment="1" applyProtection="1">
      <alignment horizontal="left" vertical="top"/>
    </xf>
    <xf numFmtId="0" fontId="9" fillId="0" borderId="13" xfId="0" applyFont="1" applyFill="1" applyBorder="1" applyAlignment="1" applyProtection="1">
      <alignment horizontal="center" wrapText="1"/>
    </xf>
    <xf numFmtId="0" fontId="9" fillId="0" borderId="1" xfId="0" applyFont="1" applyFill="1" applyBorder="1" applyAlignment="1" applyProtection="1">
      <alignment horizontal="center" wrapText="1"/>
    </xf>
    <xf numFmtId="0" fontId="9" fillId="0" borderId="0" xfId="0" applyFont="1" applyProtection="1">
      <protection locked="0"/>
    </xf>
    <xf numFmtId="0" fontId="0" fillId="0" borderId="5" xfId="0" applyFill="1" applyBorder="1"/>
    <xf numFmtId="0" fontId="8" fillId="0" borderId="7" xfId="0" applyFont="1" applyBorder="1" applyAlignment="1" applyProtection="1">
      <alignment horizontal="left"/>
    </xf>
    <xf numFmtId="0" fontId="9" fillId="0" borderId="1" xfId="0" applyFont="1" applyFill="1" applyBorder="1" applyAlignment="1" applyProtection="1">
      <alignment horizontal="left"/>
    </xf>
    <xf numFmtId="0" fontId="9" fillId="0" borderId="7" xfId="0" applyFont="1" applyFill="1" applyBorder="1" applyAlignment="1" applyProtection="1">
      <alignment horizontal="left"/>
    </xf>
    <xf numFmtId="178" fontId="0" fillId="4" borderId="0" xfId="0" applyNumberFormat="1" applyFill="1" applyBorder="1"/>
    <xf numFmtId="178" fontId="0" fillId="4" borderId="8" xfId="0" applyNumberFormat="1" applyFill="1" applyBorder="1"/>
    <xf numFmtId="179" fontId="0" fillId="5" borderId="0" xfId="0" applyNumberFormat="1" applyFill="1" applyBorder="1"/>
    <xf numFmtId="179" fontId="0" fillId="5" borderId="8" xfId="0" applyNumberFormat="1" applyFill="1" applyBorder="1"/>
    <xf numFmtId="179" fontId="0" fillId="3" borderId="0" xfId="0" applyNumberFormat="1" applyFill="1" applyBorder="1"/>
    <xf numFmtId="179" fontId="0" fillId="3" borderId="8" xfId="0" applyNumberFormat="1" applyFill="1" applyBorder="1"/>
    <xf numFmtId="177" fontId="0" fillId="5" borderId="0" xfId="0" applyNumberFormat="1" applyFill="1" applyBorder="1"/>
    <xf numFmtId="177" fontId="0" fillId="5" borderId="8" xfId="0" applyNumberFormat="1" applyFill="1" applyBorder="1"/>
    <xf numFmtId="0" fontId="9" fillId="0" borderId="1" xfId="0" applyFont="1" applyBorder="1" applyAlignment="1" applyProtection="1">
      <alignment horizontal="center"/>
    </xf>
    <xf numFmtId="0" fontId="0" fillId="10" borderId="0" xfId="0" applyFill="1"/>
    <xf numFmtId="0" fontId="19" fillId="3" borderId="0" xfId="0" applyFont="1" applyFill="1"/>
    <xf numFmtId="0" fontId="0" fillId="10" borderId="0" xfId="0" applyFont="1" applyFill="1"/>
    <xf numFmtId="0" fontId="19" fillId="10" borderId="0" xfId="0" applyFont="1" applyFill="1"/>
    <xf numFmtId="0" fontId="0" fillId="10" borderId="1" xfId="0" applyFill="1" applyBorder="1"/>
    <xf numFmtId="0" fontId="0" fillId="10" borderId="1" xfId="0" applyFill="1" applyBorder="1" applyAlignment="1">
      <alignment horizontal="left"/>
    </xf>
    <xf numFmtId="0" fontId="0" fillId="0" borderId="1" xfId="0" applyBorder="1"/>
    <xf numFmtId="0" fontId="0" fillId="0" borderId="1" xfId="0" applyBorder="1" applyAlignment="1">
      <alignment wrapText="1"/>
    </xf>
    <xf numFmtId="0" fontId="9" fillId="0" borderId="1" xfId="0" applyFont="1" applyBorder="1"/>
    <xf numFmtId="0" fontId="0" fillId="0" borderId="1" xfId="0" applyBorder="1" applyAlignment="1">
      <alignment horizontal="left"/>
    </xf>
    <xf numFmtId="0" fontId="9" fillId="10" borderId="0" xfId="0" applyFont="1" applyFill="1" applyBorder="1" applyProtection="1">
      <protection locked="0"/>
    </xf>
    <xf numFmtId="0" fontId="13" fillId="0" borderId="0" xfId="3" applyBorder="1" applyAlignment="1" applyProtection="1"/>
    <xf numFmtId="0" fontId="9" fillId="0" borderId="6" xfId="0" applyFont="1" applyFill="1" applyBorder="1" applyAlignment="1" applyProtection="1">
      <alignment horizontal="left"/>
    </xf>
    <xf numFmtId="0" fontId="0" fillId="10" borderId="0" xfId="0" applyFill="1" applyBorder="1"/>
    <xf numFmtId="0" fontId="9" fillId="0" borderId="0" xfId="0" applyFont="1" applyAlignment="1" applyProtection="1">
      <alignment wrapText="1"/>
    </xf>
    <xf numFmtId="0" fontId="21" fillId="0" borderId="1" xfId="0" applyFont="1" applyBorder="1" applyAlignment="1">
      <alignment horizontal="left"/>
    </xf>
    <xf numFmtId="0" fontId="9" fillId="0" borderId="0" xfId="0" applyFont="1" applyProtection="1"/>
    <xf numFmtId="0" fontId="9" fillId="0" borderId="8" xfId="0" applyFont="1" applyBorder="1" applyProtection="1"/>
    <xf numFmtId="0" fontId="9" fillId="0" borderId="1" xfId="0" applyFont="1" applyBorder="1" applyAlignment="1" applyProtection="1">
      <alignment horizontal="left"/>
    </xf>
    <xf numFmtId="0" fontId="20" fillId="0" borderId="1" xfId="0" applyFont="1" applyBorder="1" applyAlignment="1">
      <alignment horizontal="left"/>
    </xf>
    <xf numFmtId="0" fontId="9" fillId="0" borderId="1" xfId="0" applyFont="1" applyBorder="1" applyAlignment="1" applyProtection="1">
      <alignment horizontal="center"/>
    </xf>
    <xf numFmtId="180" fontId="0" fillId="10" borderId="1" xfId="0" applyNumberFormat="1" applyFill="1" applyBorder="1" applyAlignment="1">
      <alignment horizontal="left"/>
    </xf>
    <xf numFmtId="0" fontId="19" fillId="0" borderId="1" xfId="0" applyFont="1" applyBorder="1"/>
    <xf numFmtId="0" fontId="0" fillId="0" borderId="0" xfId="0" applyAlignment="1">
      <alignment vertical="top" wrapText="1"/>
    </xf>
    <xf numFmtId="0" fontId="9" fillId="0" borderId="1" xfId="0" applyFont="1" applyBorder="1" applyAlignment="1" applyProtection="1">
      <alignment horizontal="left"/>
    </xf>
    <xf numFmtId="0" fontId="9" fillId="0" borderId="1" xfId="0" applyFont="1" applyBorder="1" applyProtection="1"/>
    <xf numFmtId="0" fontId="15" fillId="0" borderId="1" xfId="0" applyFont="1" applyBorder="1" applyAlignment="1" applyProtection="1">
      <alignment horizontal="right"/>
    </xf>
    <xf numFmtId="0" fontId="9" fillId="0" borderId="0" xfId="0" applyFont="1" applyBorder="1" applyAlignment="1" applyProtection="1">
      <alignment horizontal="left"/>
    </xf>
    <xf numFmtId="0" fontId="9" fillId="2" borderId="0" xfId="0" applyFont="1" applyFill="1" applyBorder="1" applyProtection="1">
      <protection locked="0"/>
    </xf>
    <xf numFmtId="0" fontId="9" fillId="0" borderId="0" xfId="0" applyFont="1" applyProtection="1"/>
    <xf numFmtId="0" fontId="9" fillId="0" borderId="0" xfId="0" applyFont="1" applyBorder="1" applyProtection="1"/>
    <xf numFmtId="0" fontId="9" fillId="0" borderId="6" xfId="0" applyFont="1" applyBorder="1" applyProtection="1"/>
    <xf numFmtId="0" fontId="9" fillId="0" borderId="1" xfId="0" applyFont="1" applyBorder="1" applyAlignment="1" applyProtection="1">
      <alignment horizontal="left"/>
    </xf>
    <xf numFmtId="0" fontId="15" fillId="0" borderId="1" xfId="0" applyFont="1" applyBorder="1" applyAlignment="1" applyProtection="1">
      <alignment horizontal="right"/>
    </xf>
    <xf numFmtId="0" fontId="15" fillId="0" borderId="1" xfId="0" applyFont="1" applyBorder="1" applyProtection="1"/>
    <xf numFmtId="0" fontId="0" fillId="0" borderId="0" xfId="0" applyNumberFormat="1" applyProtection="1"/>
    <xf numFmtId="0" fontId="9" fillId="0" borderId="0" xfId="0" applyFont="1" applyBorder="1" applyAlignment="1" applyProtection="1">
      <alignment horizontal="left"/>
    </xf>
    <xf numFmtId="0" fontId="0" fillId="0" borderId="1" xfId="0" applyBorder="1"/>
    <xf numFmtId="0" fontId="0" fillId="3" borderId="1" xfId="0" applyFill="1" applyBorder="1"/>
    <xf numFmtId="0" fontId="0" fillId="4" borderId="1" xfId="0" applyFill="1" applyBorder="1"/>
    <xf numFmtId="0" fontId="0" fillId="5" borderId="1" xfId="0" applyFill="1" applyBorder="1"/>
    <xf numFmtId="0" fontId="0" fillId="6" borderId="1" xfId="0" applyFill="1" applyBorder="1"/>
    <xf numFmtId="179" fontId="0" fillId="3" borderId="1" xfId="0" applyNumberFormat="1" applyFill="1" applyBorder="1"/>
    <xf numFmtId="178" fontId="0" fillId="4" borderId="1" xfId="0" applyNumberFormat="1" applyFill="1" applyBorder="1"/>
    <xf numFmtId="179" fontId="0" fillId="5" borderId="1" xfId="0" applyNumberFormat="1" applyFill="1" applyBorder="1"/>
    <xf numFmtId="179" fontId="0" fillId="3" borderId="1" xfId="0" applyNumberFormat="1" applyFill="1" applyBorder="1" applyAlignment="1">
      <alignment horizontal="left"/>
    </xf>
    <xf numFmtId="179" fontId="0" fillId="5" borderId="1" xfId="0" applyNumberFormat="1" applyFill="1" applyBorder="1" applyAlignment="1">
      <alignment horizontal="left"/>
    </xf>
    <xf numFmtId="179" fontId="0" fillId="4" borderId="1" xfId="0" applyNumberFormat="1" applyFill="1" applyBorder="1" applyAlignment="1">
      <alignment horizontal="left"/>
    </xf>
    <xf numFmtId="179" fontId="0" fillId="6" borderId="1" xfId="0" applyNumberFormat="1" applyFill="1" applyBorder="1" applyAlignment="1">
      <alignment horizontal="left"/>
    </xf>
    <xf numFmtId="0" fontId="0" fillId="0" borderId="0" xfId="0" applyNumberFormat="1" applyAlignment="1">
      <alignment vertical="top" wrapText="1"/>
    </xf>
    <xf numFmtId="0" fontId="0" fillId="0" borderId="0" xfId="0" applyAlignment="1">
      <alignment vertical="top"/>
    </xf>
    <xf numFmtId="0" fontId="0" fillId="0" borderId="1" xfId="0" applyFill="1" applyBorder="1" applyAlignment="1">
      <alignment horizontal="left"/>
    </xf>
    <xf numFmtId="0" fontId="0" fillId="0" borderId="0" xfId="0" applyFill="1" applyAlignment="1">
      <alignment vertical="top"/>
    </xf>
    <xf numFmtId="0" fontId="0" fillId="10" borderId="0" xfId="0" applyFont="1" applyFill="1" applyAlignment="1">
      <alignment horizontal="center"/>
    </xf>
    <xf numFmtId="0" fontId="0" fillId="11" borderId="0" xfId="0" applyFill="1"/>
    <xf numFmtId="0" fontId="13" fillId="11" borderId="0" xfId="3" applyFill="1" applyAlignment="1" applyProtection="1"/>
    <xf numFmtId="0" fontId="0" fillId="11" borderId="1" xfId="0" applyFill="1" applyBorder="1" applyAlignment="1">
      <alignment horizontal="left"/>
    </xf>
    <xf numFmtId="0" fontId="0" fillId="10" borderId="0" xfId="0" applyFill="1" applyAlignment="1">
      <alignment horizontal="center"/>
    </xf>
    <xf numFmtId="180" fontId="0" fillId="0" borderId="1" xfId="0" applyNumberFormat="1" applyFill="1" applyBorder="1" applyAlignment="1">
      <alignment horizontal="left"/>
    </xf>
    <xf numFmtId="0" fontId="0" fillId="4" borderId="8" xfId="0" applyFill="1" applyBorder="1"/>
    <xf numFmtId="0" fontId="0" fillId="6" borderId="9" xfId="0" applyFill="1" applyBorder="1"/>
    <xf numFmtId="0" fontId="20" fillId="10" borderId="1" xfId="0" applyFont="1" applyFill="1" applyBorder="1" applyAlignment="1">
      <alignment horizontal="left"/>
    </xf>
    <xf numFmtId="0" fontId="20" fillId="0" borderId="1" xfId="0" applyFont="1" applyFill="1" applyBorder="1" applyAlignment="1">
      <alignment horizontal="left"/>
    </xf>
    <xf numFmtId="15" fontId="0" fillId="0" borderId="0" xfId="0" applyNumberFormat="1" applyAlignment="1">
      <alignment horizontal="left"/>
    </xf>
    <xf numFmtId="15" fontId="0" fillId="0" borderId="0" xfId="0" applyNumberFormat="1" applyAlignment="1">
      <alignment horizontal="left" vertical="center"/>
    </xf>
    <xf numFmtId="14" fontId="0" fillId="0" borderId="0" xfId="0" applyNumberFormat="1" applyAlignment="1">
      <alignment horizontal="left"/>
    </xf>
    <xf numFmtId="14" fontId="0" fillId="0" borderId="0" xfId="0" applyNumberFormat="1" applyAlignment="1">
      <alignment horizontal="left" vertical="top"/>
    </xf>
    <xf numFmtId="0" fontId="0" fillId="0" borderId="0" xfId="0" applyAlignment="1">
      <alignment horizontal="left"/>
    </xf>
    <xf numFmtId="0" fontId="9" fillId="0" borderId="1" xfId="0" applyFont="1" applyBorder="1" applyAlignment="1" applyProtection="1">
      <alignment horizontal="center"/>
    </xf>
    <xf numFmtId="0" fontId="25" fillId="10" borderId="0" xfId="0" applyFont="1" applyFill="1"/>
    <xf numFmtId="0" fontId="26" fillId="10" borderId="0" xfId="0" applyFont="1" applyFill="1"/>
    <xf numFmtId="0" fontId="9" fillId="9" borderId="10" xfId="0" applyFont="1" applyFill="1" applyBorder="1" applyAlignment="1" applyProtection="1">
      <alignment horizontal="center" vertical="top"/>
    </xf>
    <xf numFmtId="0" fontId="9" fillId="9" borderId="13" xfId="0" applyFont="1" applyFill="1" applyBorder="1" applyAlignment="1" applyProtection="1">
      <alignment horizontal="center" vertical="top"/>
    </xf>
    <xf numFmtId="0" fontId="9" fillId="9" borderId="11" xfId="0" applyFont="1" applyFill="1" applyBorder="1" applyAlignment="1" applyProtection="1">
      <alignment horizontal="center" vertical="top"/>
    </xf>
    <xf numFmtId="14" fontId="9" fillId="9" borderId="10" xfId="0" applyNumberFormat="1" applyFont="1" applyFill="1" applyBorder="1" applyAlignment="1" applyProtection="1">
      <alignment horizontal="center"/>
    </xf>
    <xf numFmtId="14" fontId="9" fillId="9" borderId="11" xfId="0" applyNumberFormat="1" applyFont="1" applyFill="1" applyBorder="1" applyAlignment="1" applyProtection="1">
      <alignment horizontal="center"/>
    </xf>
    <xf numFmtId="0" fontId="8" fillId="8" borderId="2" xfId="0" applyFont="1" applyFill="1" applyBorder="1" applyAlignment="1" applyProtection="1">
      <alignment horizontal="center"/>
    </xf>
    <xf numFmtId="0" fontId="8" fillId="8" borderId="3" xfId="0" applyFont="1" applyFill="1" applyBorder="1" applyAlignment="1" applyProtection="1">
      <alignment horizontal="center"/>
    </xf>
    <xf numFmtId="0" fontId="8" fillId="8" borderId="4" xfId="0" applyFont="1" applyFill="1" applyBorder="1" applyAlignment="1" applyProtection="1">
      <alignment horizontal="center"/>
    </xf>
    <xf numFmtId="0" fontId="8" fillId="7" borderId="2" xfId="0" applyFont="1" applyFill="1" applyBorder="1" applyAlignment="1" applyProtection="1">
      <alignment horizontal="center"/>
    </xf>
    <xf numFmtId="0" fontId="8" fillId="7" borderId="3" xfId="0" applyFont="1" applyFill="1" applyBorder="1" applyAlignment="1" applyProtection="1">
      <alignment horizontal="center"/>
    </xf>
    <xf numFmtId="0" fontId="8" fillId="7" borderId="4" xfId="0" applyFont="1" applyFill="1" applyBorder="1" applyAlignment="1" applyProtection="1">
      <alignment horizontal="center"/>
    </xf>
    <xf numFmtId="0" fontId="9" fillId="9" borderId="10" xfId="0" applyFont="1" applyFill="1" applyBorder="1" applyAlignment="1" applyProtection="1">
      <alignment horizontal="center"/>
    </xf>
    <xf numFmtId="0" fontId="9" fillId="9" borderId="13" xfId="0" applyFont="1" applyFill="1" applyBorder="1" applyAlignment="1" applyProtection="1">
      <alignment horizontal="center"/>
    </xf>
    <xf numFmtId="0" fontId="9" fillId="9" borderId="11" xfId="0" applyFont="1" applyFill="1" applyBorder="1" applyAlignment="1" applyProtection="1">
      <alignment horizontal="center"/>
    </xf>
    <xf numFmtId="0" fontId="11" fillId="0" borderId="0" xfId="0" applyFont="1" applyBorder="1" applyAlignment="1" applyProtection="1">
      <alignment horizontal="center"/>
    </xf>
    <xf numFmtId="0" fontId="8" fillId="3" borderId="2" xfId="0" applyFont="1" applyFill="1" applyBorder="1" applyAlignment="1" applyProtection="1">
      <alignment horizontal="center"/>
    </xf>
    <xf numFmtId="0" fontId="8" fillId="3" borderId="3" xfId="0" applyFont="1" applyFill="1" applyBorder="1" applyAlignment="1" applyProtection="1">
      <alignment horizontal="center"/>
    </xf>
    <xf numFmtId="0" fontId="8" fillId="3" borderId="4" xfId="0" applyFont="1" applyFill="1" applyBorder="1" applyAlignment="1" applyProtection="1">
      <alignment horizontal="center"/>
    </xf>
    <xf numFmtId="0" fontId="9" fillId="0" borderId="1" xfId="0" applyFont="1" applyBorder="1" applyAlignment="1" applyProtection="1">
      <alignment horizontal="center"/>
    </xf>
    <xf numFmtId="0" fontId="0" fillId="0" borderId="0" xfId="0"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3" borderId="0" xfId="0" applyFont="1" applyFill="1" applyBorder="1" applyAlignment="1">
      <alignment horizontal="center"/>
    </xf>
    <xf numFmtId="0" fontId="7" fillId="4" borderId="0" xfId="0" applyFont="1" applyFill="1" applyBorder="1" applyAlignment="1">
      <alignment horizontal="center"/>
    </xf>
    <xf numFmtId="0" fontId="7" fillId="5" borderId="0" xfId="0" applyFont="1" applyFill="1" applyBorder="1" applyAlignment="1">
      <alignment horizontal="center"/>
    </xf>
    <xf numFmtId="0" fontId="7" fillId="6" borderId="0" xfId="0" applyFont="1" applyFill="1" applyBorder="1" applyAlignment="1">
      <alignment horizontal="center"/>
    </xf>
    <xf numFmtId="0" fontId="7" fillId="6" borderId="6" xfId="0" applyFont="1" applyFill="1" applyBorder="1" applyAlignment="1">
      <alignment horizontal="center"/>
    </xf>
    <xf numFmtId="0" fontId="8" fillId="3" borderId="0" xfId="0" applyFont="1" applyFill="1" applyAlignment="1">
      <alignment horizontal="center"/>
    </xf>
    <xf numFmtId="0" fontId="19" fillId="10" borderId="14" xfId="0" applyFont="1" applyFill="1" applyBorder="1" applyAlignment="1">
      <alignment horizontal="center"/>
    </xf>
    <xf numFmtId="0" fontId="19" fillId="10" borderId="12" xfId="0" applyFont="1" applyFill="1" applyBorder="1" applyAlignment="1">
      <alignment horizontal="center"/>
    </xf>
    <xf numFmtId="0" fontId="0" fillId="10" borderId="1" xfId="0" applyFill="1" applyBorder="1" applyAlignment="1">
      <alignment horizontal="center"/>
    </xf>
    <xf numFmtId="0" fontId="19" fillId="0" borderId="1" xfId="0" applyFont="1" applyBorder="1" applyAlignment="1">
      <alignment horizontal="center"/>
    </xf>
    <xf numFmtId="0" fontId="7" fillId="3" borderId="1" xfId="0"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7" fillId="6" borderId="1" xfId="0" applyFont="1" applyFill="1" applyBorder="1" applyAlignment="1">
      <alignment horizontal="center"/>
    </xf>
  </cellXfs>
  <cellStyles count="4">
    <cellStyle name="Currency 2" xfId="2"/>
    <cellStyle name="Normal 2" xfId="1"/>
    <cellStyle name="一般" xfId="0" builtinId="0"/>
    <cellStyle name="超連結" xfId="3"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community.ugs.com/Users/naramesh/Downloads/Teamcenter_Server_Sizing_Estimator_v2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Change Log"/>
      <sheetName val="UsageGuide"/>
      <sheetName val="Sizing_AllPlatforms"/>
      <sheetName val="8.3Baseline"/>
      <sheetName val="9.1Baseline"/>
    </sheetNames>
    <sheetDataSet>
      <sheetData sheetId="0"/>
      <sheetData sheetId="1"/>
      <sheetData sheetId="2"/>
      <sheetData sheetId="3">
        <row r="49">
          <cell r="G49">
            <v>4</v>
          </cell>
        </row>
      </sheetData>
      <sheetData sheetId="4"/>
      <sheetData sheetId="5"/>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spec.org/cgi-bin/osgresults?conf=rint2006" TargetMode="External"/><Relationship Id="rId7" Type="http://schemas.openxmlformats.org/officeDocument/2006/relationships/comments" Target="../comments1.xml"/><Relationship Id="rId2" Type="http://schemas.openxmlformats.org/officeDocument/2006/relationships/hyperlink" Target="http://www.spec.org/cgi-bin/osgresults?conf=rint2006" TargetMode="External"/><Relationship Id="rId1" Type="http://schemas.openxmlformats.org/officeDocument/2006/relationships/hyperlink" Target="http://www.spec.org/cgi-bin/osgresults?conf=rint2006" TargetMode="External"/><Relationship Id="rId6" Type="http://schemas.openxmlformats.org/officeDocument/2006/relationships/vmlDrawing" Target="../drawings/vmlDrawing1.vml"/><Relationship Id="rId5" Type="http://schemas.openxmlformats.org/officeDocument/2006/relationships/printerSettings" Target="../printerSettings/printerSettings3.bin"/><Relationship Id="rId4" Type="http://schemas.openxmlformats.org/officeDocument/2006/relationships/hyperlink" Target="http://www.spec.org/cgi-bin/osgresults?conf=rint2006"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spec.org/cgi-bin/osgresults?conf=rint2006" TargetMode="External"/><Relationship Id="rId7" Type="http://schemas.openxmlformats.org/officeDocument/2006/relationships/comments" Target="../comments2.xml"/><Relationship Id="rId2" Type="http://schemas.openxmlformats.org/officeDocument/2006/relationships/hyperlink" Target="http://www.spec.org/cgi-bin/osgresults?conf=rint2006" TargetMode="External"/><Relationship Id="rId1" Type="http://schemas.openxmlformats.org/officeDocument/2006/relationships/hyperlink" Target="http://www.spec.org/cgi-bin/osgresults?conf=rint2006" TargetMode="External"/><Relationship Id="rId6" Type="http://schemas.openxmlformats.org/officeDocument/2006/relationships/vmlDrawing" Target="../drawings/vmlDrawing2.vml"/><Relationship Id="rId5" Type="http://schemas.openxmlformats.org/officeDocument/2006/relationships/printerSettings" Target="../printerSettings/printerSettings4.bin"/><Relationship Id="rId4" Type="http://schemas.openxmlformats.org/officeDocument/2006/relationships/hyperlink" Target="http://www.spec.org/cgi-bin/osgresults?conf=rint2006"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spec.org/cgi-bin/osgresults?conf=rint2006" TargetMode="External"/><Relationship Id="rId7" Type="http://schemas.openxmlformats.org/officeDocument/2006/relationships/comments" Target="../comments3.xml"/><Relationship Id="rId2" Type="http://schemas.openxmlformats.org/officeDocument/2006/relationships/hyperlink" Target="http://www.spec.org/cgi-bin/osgresults?conf=rint2006" TargetMode="External"/><Relationship Id="rId1" Type="http://schemas.openxmlformats.org/officeDocument/2006/relationships/hyperlink" Target="http://www.spec.org/cgi-bin/osgresults?conf=rint2006" TargetMode="External"/><Relationship Id="rId6" Type="http://schemas.openxmlformats.org/officeDocument/2006/relationships/vmlDrawing" Target="../drawings/vmlDrawing3.vml"/><Relationship Id="rId5" Type="http://schemas.openxmlformats.org/officeDocument/2006/relationships/printerSettings" Target="../printerSettings/printerSettings5.bin"/><Relationship Id="rId4" Type="http://schemas.openxmlformats.org/officeDocument/2006/relationships/hyperlink" Target="http://www.spec.org/cgi-bin/osgresults?conf=rint200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apa/apa_l2.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2"/>
  <sheetViews>
    <sheetView workbookViewId="0">
      <selection activeCell="B1" sqref="B1"/>
    </sheetView>
  </sheetViews>
  <sheetFormatPr defaultColWidth="9.140625" defaultRowHeight="12.75" x14ac:dyDescent="0.2"/>
  <cols>
    <col min="1" max="1" width="125.140625" style="7" customWidth="1"/>
    <col min="2" max="16384" width="9.140625" style="2"/>
  </cols>
  <sheetData>
    <row r="2" spans="1:1" ht="15.75" x14ac:dyDescent="0.25">
      <c r="A2" s="1" t="s">
        <v>0</v>
      </c>
    </row>
    <row r="3" spans="1:1" ht="15.75" x14ac:dyDescent="0.25">
      <c r="A3" s="1"/>
    </row>
    <row r="4" spans="1:1" ht="63" x14ac:dyDescent="0.25">
      <c r="A4" s="1" t="s">
        <v>1</v>
      </c>
    </row>
    <row r="5" spans="1:1" ht="15.75" x14ac:dyDescent="0.25">
      <c r="A5" s="3"/>
    </row>
    <row r="6" spans="1:1" ht="63" x14ac:dyDescent="0.25">
      <c r="A6" s="3" t="s">
        <v>2</v>
      </c>
    </row>
    <row r="7" spans="1:1" ht="15.75" x14ac:dyDescent="0.25">
      <c r="A7" s="3"/>
    </row>
    <row r="8" spans="1:1" ht="15.75" x14ac:dyDescent="0.25">
      <c r="A8" s="3" t="s">
        <v>3</v>
      </c>
    </row>
    <row r="9" spans="1:1" ht="15.75" x14ac:dyDescent="0.25">
      <c r="A9" s="3"/>
    </row>
    <row r="10" spans="1:1" ht="15.75" x14ac:dyDescent="0.25">
      <c r="A10" s="3"/>
    </row>
    <row r="11" spans="1:1" ht="15.75" x14ac:dyDescent="0.25">
      <c r="A11" s="4" t="s">
        <v>4</v>
      </c>
    </row>
    <row r="12" spans="1:1" ht="15.75" x14ac:dyDescent="0.25">
      <c r="A12" s="4" t="s">
        <v>5</v>
      </c>
    </row>
    <row r="13" spans="1:1" ht="15.75" x14ac:dyDescent="0.25">
      <c r="A13" s="3"/>
    </row>
    <row r="14" spans="1:1" ht="15.75" x14ac:dyDescent="0.25">
      <c r="A14" s="3" t="s">
        <v>6</v>
      </c>
    </row>
    <row r="16" spans="1:1" ht="18.75" x14ac:dyDescent="0.3">
      <c r="A16" s="5" t="s">
        <v>7</v>
      </c>
    </row>
    <row r="17" spans="1:1" ht="18.75" x14ac:dyDescent="0.3">
      <c r="A17" s="6"/>
    </row>
    <row r="18" spans="1:1" ht="18.75" x14ac:dyDescent="0.3">
      <c r="A18" s="6"/>
    </row>
    <row r="19" spans="1:1" s="7" customFormat="1" ht="47.25" x14ac:dyDescent="0.25">
      <c r="A19" s="3" t="s">
        <v>8</v>
      </c>
    </row>
    <row r="20" spans="1:1" ht="18.75" x14ac:dyDescent="0.3">
      <c r="A20" s="6"/>
    </row>
    <row r="22" spans="1:1" ht="18.75" x14ac:dyDescent="0.3">
      <c r="A22" s="8"/>
    </row>
  </sheetData>
  <phoneticPr fontId="23"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opLeftCell="A8" workbookViewId="0">
      <selection activeCell="N37" sqref="N37"/>
    </sheetView>
  </sheetViews>
  <sheetFormatPr defaultColWidth="9.140625" defaultRowHeight="15.75" x14ac:dyDescent="0.25"/>
  <cols>
    <col min="1" max="1" width="9.140625" style="132"/>
    <col min="2" max="2" width="26.5703125" style="132" customWidth="1"/>
    <col min="3" max="3" width="13" style="132" customWidth="1"/>
    <col min="4" max="4" width="11.5703125" style="132" customWidth="1"/>
    <col min="5" max="5" width="12" style="132" customWidth="1"/>
    <col min="6" max="6" width="11.42578125" style="132" customWidth="1"/>
    <col min="7" max="10" width="13.5703125" style="132" customWidth="1"/>
    <col min="11" max="13" width="9.140625" style="132"/>
    <col min="14" max="14" width="14.5703125" style="132" customWidth="1"/>
    <col min="15" max="16384" width="9.140625" style="132"/>
  </cols>
  <sheetData>
    <row r="1" spans="1:13" x14ac:dyDescent="0.25">
      <c r="B1" s="133" t="s">
        <v>30</v>
      </c>
      <c r="C1" s="133"/>
      <c r="D1" s="133"/>
    </row>
    <row r="2" spans="1:13" x14ac:dyDescent="0.25">
      <c r="A2" s="132" t="s">
        <v>151</v>
      </c>
      <c r="B2" s="134" t="s">
        <v>218</v>
      </c>
      <c r="C2" s="135"/>
      <c r="D2" s="135"/>
    </row>
    <row r="4" spans="1:13" x14ac:dyDescent="0.25">
      <c r="B4" s="231" t="s">
        <v>152</v>
      </c>
      <c r="C4" s="233" t="s">
        <v>87</v>
      </c>
      <c r="D4" s="233"/>
      <c r="E4" s="233"/>
      <c r="F4" s="233"/>
      <c r="J4" s="145"/>
      <c r="K4" s="145"/>
      <c r="L4" s="145"/>
      <c r="M4" s="145"/>
    </row>
    <row r="5" spans="1:13" x14ac:dyDescent="0.25">
      <c r="B5" s="232"/>
      <c r="C5" s="136" t="s">
        <v>153</v>
      </c>
      <c r="D5" s="136" t="s">
        <v>154</v>
      </c>
      <c r="E5" s="136" t="s">
        <v>38</v>
      </c>
      <c r="F5" s="136" t="s">
        <v>155</v>
      </c>
      <c r="J5" s="145"/>
      <c r="K5" s="145"/>
      <c r="L5" s="145"/>
      <c r="M5" s="145"/>
    </row>
    <row r="6" spans="1:13" x14ac:dyDescent="0.25">
      <c r="B6" s="136" t="s">
        <v>176</v>
      </c>
      <c r="C6" s="137">
        <v>8.5000000000000006E-3</v>
      </c>
      <c r="D6" s="137">
        <v>3.8999999999999998E-3</v>
      </c>
      <c r="E6" s="183">
        <v>0.16500000000000001</v>
      </c>
      <c r="F6" s="136" t="s">
        <v>40</v>
      </c>
      <c r="J6" s="145"/>
      <c r="K6" s="145"/>
      <c r="L6" s="145"/>
      <c r="M6" s="145"/>
    </row>
    <row r="7" spans="1:13" x14ac:dyDescent="0.25">
      <c r="B7" s="136" t="s">
        <v>175</v>
      </c>
      <c r="C7" s="137">
        <v>4.1000000000000003E-3</v>
      </c>
      <c r="D7" s="137">
        <v>2.7000000000000001E-3</v>
      </c>
      <c r="E7" s="137">
        <v>1.1040000000000001</v>
      </c>
      <c r="F7" s="136" t="s">
        <v>40</v>
      </c>
      <c r="J7" s="145"/>
      <c r="K7" s="145"/>
      <c r="L7" s="145"/>
      <c r="M7" s="145"/>
    </row>
    <row r="8" spans="1:13" x14ac:dyDescent="0.25">
      <c r="B8" s="136" t="s">
        <v>174</v>
      </c>
      <c r="C8" s="137">
        <v>1.2999999999999999E-3</v>
      </c>
      <c r="D8" s="137">
        <v>2.9999999999999997E-4</v>
      </c>
      <c r="E8" s="137">
        <v>0.38200000000000001</v>
      </c>
      <c r="F8" s="137">
        <v>0.23</v>
      </c>
      <c r="J8" s="145"/>
      <c r="K8" s="145"/>
      <c r="L8" s="145"/>
      <c r="M8" s="145"/>
    </row>
    <row r="9" spans="1:13" x14ac:dyDescent="0.25">
      <c r="B9" s="136" t="s">
        <v>173</v>
      </c>
      <c r="C9" s="137">
        <v>2.76E-2</v>
      </c>
      <c r="D9" s="137">
        <v>2.7000000000000001E-3</v>
      </c>
      <c r="E9" s="137">
        <v>2.8780000000000001</v>
      </c>
      <c r="F9" s="136" t="s">
        <v>40</v>
      </c>
      <c r="J9" s="145"/>
      <c r="K9" s="145"/>
      <c r="L9" s="145"/>
      <c r="M9" s="145"/>
    </row>
    <row r="11" spans="1:13" x14ac:dyDescent="0.25">
      <c r="B11" s="231" t="s">
        <v>156</v>
      </c>
      <c r="C11" s="233" t="s">
        <v>87</v>
      </c>
      <c r="D11" s="233"/>
      <c r="E11" s="233"/>
      <c r="F11" s="233"/>
      <c r="G11" s="233" t="s">
        <v>157</v>
      </c>
      <c r="H11" s="233"/>
      <c r="I11" s="233"/>
      <c r="J11" s="233"/>
    </row>
    <row r="12" spans="1:13" x14ac:dyDescent="0.25">
      <c r="B12" s="232"/>
      <c r="C12" s="136" t="s">
        <v>153</v>
      </c>
      <c r="D12" s="136" t="s">
        <v>154</v>
      </c>
      <c r="E12" s="136" t="s">
        <v>38</v>
      </c>
      <c r="F12" s="136" t="s">
        <v>155</v>
      </c>
      <c r="G12" s="136" t="s">
        <v>153</v>
      </c>
      <c r="H12" s="136" t="s">
        <v>154</v>
      </c>
      <c r="I12" s="136" t="s">
        <v>38</v>
      </c>
      <c r="J12" s="136" t="s">
        <v>155</v>
      </c>
    </row>
    <row r="13" spans="1:13" x14ac:dyDescent="0.25">
      <c r="B13" s="136" t="s">
        <v>158</v>
      </c>
      <c r="C13" s="137">
        <v>0.247</v>
      </c>
      <c r="D13" s="137">
        <v>7.0999999999999994E-2</v>
      </c>
      <c r="E13" s="137">
        <v>47.1</v>
      </c>
      <c r="F13" s="137">
        <v>0.7</v>
      </c>
      <c r="G13" s="137">
        <v>0.23799999999999999</v>
      </c>
      <c r="H13" s="137">
        <v>4.8000000000000001E-2</v>
      </c>
      <c r="I13" s="137">
        <v>57.4</v>
      </c>
      <c r="J13" s="137">
        <v>0.8</v>
      </c>
    </row>
    <row r="14" spans="1:13" x14ac:dyDescent="0.25">
      <c r="B14" s="136" t="s">
        <v>166</v>
      </c>
      <c r="C14" s="137">
        <v>0.21199999999999999</v>
      </c>
      <c r="D14" s="137">
        <v>6.9000000000000006E-2</v>
      </c>
      <c r="E14" s="137">
        <v>51.9</v>
      </c>
      <c r="F14" s="137">
        <v>0.74</v>
      </c>
      <c r="G14" s="137">
        <v>0.19900000000000001</v>
      </c>
      <c r="H14" s="137">
        <v>4.2999999999999997E-2</v>
      </c>
      <c r="I14" s="137">
        <v>60.8</v>
      </c>
      <c r="J14" s="137">
        <v>0.8</v>
      </c>
    </row>
    <row r="15" spans="1:13" x14ac:dyDescent="0.25">
      <c r="B15" s="136" t="s">
        <v>159</v>
      </c>
      <c r="C15" s="137">
        <v>8.5999999999999993E-2</v>
      </c>
      <c r="D15" s="137">
        <v>2.4E-2</v>
      </c>
      <c r="E15" s="137">
        <v>79.7</v>
      </c>
      <c r="F15" s="137">
        <v>91.4</v>
      </c>
      <c r="G15" s="137">
        <v>7.4999999999999997E-2</v>
      </c>
      <c r="H15" s="137">
        <v>1.4E-2</v>
      </c>
      <c r="I15" s="137">
        <v>108.5</v>
      </c>
      <c r="J15" s="137">
        <v>122.1</v>
      </c>
    </row>
    <row r="16" spans="1:13" x14ac:dyDescent="0.25">
      <c r="B16" s="136" t="s">
        <v>160</v>
      </c>
      <c r="C16" s="137">
        <v>6.2E-2</v>
      </c>
      <c r="D16" s="137">
        <v>3.2000000000000001E-2</v>
      </c>
      <c r="E16" s="137">
        <v>63.4</v>
      </c>
      <c r="F16" s="137" t="s">
        <v>40</v>
      </c>
      <c r="G16" s="137">
        <v>4.8000000000000001E-2</v>
      </c>
      <c r="H16" s="137">
        <v>2.3E-2</v>
      </c>
      <c r="I16" s="137">
        <v>71.400000000000006</v>
      </c>
      <c r="J16" s="137" t="s">
        <v>40</v>
      </c>
    </row>
    <row r="17" spans="2:10" x14ac:dyDescent="0.25">
      <c r="B17" s="136" t="s">
        <v>161</v>
      </c>
      <c r="C17" s="137">
        <v>0.126</v>
      </c>
      <c r="D17" s="183">
        <v>6.3E-2</v>
      </c>
      <c r="E17" s="137">
        <v>55.3</v>
      </c>
      <c r="F17" s="137" t="s">
        <v>40</v>
      </c>
      <c r="G17" s="137">
        <v>7.1999999999999995E-2</v>
      </c>
      <c r="H17" s="137">
        <v>3.5000000000000003E-2</v>
      </c>
      <c r="I17" s="137">
        <v>68.400000000000006</v>
      </c>
      <c r="J17" s="137" t="s">
        <v>40</v>
      </c>
    </row>
    <row r="18" spans="2:10" x14ac:dyDescent="0.25">
      <c r="B18" s="136" t="s">
        <v>162</v>
      </c>
      <c r="C18" s="137">
        <v>0.113</v>
      </c>
      <c r="D18" s="137">
        <v>5.8999999999999997E-2</v>
      </c>
      <c r="E18" s="137">
        <v>55.5</v>
      </c>
      <c r="F18" s="137" t="s">
        <v>40</v>
      </c>
      <c r="G18" s="137">
        <v>7.4999999999999997E-2</v>
      </c>
      <c r="H18" s="137">
        <v>3.5000000000000003E-2</v>
      </c>
      <c r="I18" s="137">
        <v>59.2</v>
      </c>
      <c r="J18" s="137" t="s">
        <v>40</v>
      </c>
    </row>
    <row r="20" spans="2:10" x14ac:dyDescent="0.25">
      <c r="B20" s="231" t="s">
        <v>163</v>
      </c>
      <c r="C20" s="233" t="s">
        <v>87</v>
      </c>
      <c r="D20" s="233"/>
      <c r="E20" s="233"/>
      <c r="F20" s="233"/>
      <c r="G20" s="233" t="s">
        <v>157</v>
      </c>
      <c r="H20" s="233"/>
      <c r="I20" s="233"/>
      <c r="J20" s="233"/>
    </row>
    <row r="21" spans="2:10" x14ac:dyDescent="0.25">
      <c r="B21" s="232"/>
      <c r="C21" s="136" t="s">
        <v>153</v>
      </c>
      <c r="D21" s="136" t="s">
        <v>154</v>
      </c>
      <c r="E21" s="136" t="s">
        <v>38</v>
      </c>
      <c r="F21" s="136" t="s">
        <v>155</v>
      </c>
      <c r="G21" s="136" t="s">
        <v>153</v>
      </c>
      <c r="H21" s="136" t="s">
        <v>154</v>
      </c>
      <c r="I21" s="136" t="s">
        <v>38</v>
      </c>
      <c r="J21" s="136" t="s">
        <v>155</v>
      </c>
    </row>
    <row r="22" spans="2:10" x14ac:dyDescent="0.25">
      <c r="B22" s="136" t="s">
        <v>158</v>
      </c>
      <c r="C22" s="137">
        <v>6.4000000000000001E-2</v>
      </c>
      <c r="D22" s="137">
        <v>1.6E-2</v>
      </c>
      <c r="E22" s="183">
        <v>6.9</v>
      </c>
      <c r="F22" s="137" t="s">
        <v>40</v>
      </c>
      <c r="G22" s="194">
        <v>0.39400000000000002</v>
      </c>
      <c r="H22" s="194">
        <v>7.0999999999999994E-2</v>
      </c>
      <c r="I22" s="153">
        <v>4.3</v>
      </c>
      <c r="J22" s="137" t="s">
        <v>40</v>
      </c>
    </row>
    <row r="23" spans="2:10" x14ac:dyDescent="0.25">
      <c r="B23" s="136" t="s">
        <v>166</v>
      </c>
      <c r="C23" s="137">
        <v>3.4000000000000002E-2</v>
      </c>
      <c r="D23" s="137">
        <v>1.4E-2</v>
      </c>
      <c r="E23" s="137">
        <v>20.399999999999999</v>
      </c>
      <c r="F23" s="137" t="s">
        <v>40</v>
      </c>
      <c r="G23" s="193">
        <v>6.9000000000000006E-2</v>
      </c>
      <c r="H23" s="193">
        <v>2.4E-2</v>
      </c>
      <c r="I23" s="153">
        <v>19</v>
      </c>
      <c r="J23" s="137" t="s">
        <v>40</v>
      </c>
    </row>
    <row r="24" spans="2:10" x14ac:dyDescent="0.25">
      <c r="B24" s="136" t="s">
        <v>159</v>
      </c>
      <c r="C24" s="137">
        <v>1.7999999999999999E-2</v>
      </c>
      <c r="D24" s="137">
        <v>7.0000000000000001E-3</v>
      </c>
      <c r="E24" s="137">
        <v>7.5</v>
      </c>
      <c r="F24" s="137">
        <v>10.4</v>
      </c>
      <c r="G24" s="137">
        <v>2.3E-2</v>
      </c>
      <c r="H24" s="137">
        <v>7.0000000000000001E-3</v>
      </c>
      <c r="I24" s="153">
        <v>7.1</v>
      </c>
      <c r="J24" s="137">
        <v>10.3</v>
      </c>
    </row>
    <row r="25" spans="2:10" x14ac:dyDescent="0.25">
      <c r="B25" s="136" t="s">
        <v>160</v>
      </c>
      <c r="C25" s="137">
        <v>8.9999999999999993E-3</v>
      </c>
      <c r="D25" s="137">
        <v>5.0000000000000001E-3</v>
      </c>
      <c r="E25" s="137">
        <v>14.9</v>
      </c>
      <c r="F25" s="137" t="s">
        <v>40</v>
      </c>
      <c r="G25" s="137">
        <v>2.8000000000000001E-2</v>
      </c>
      <c r="H25" s="137">
        <v>1.2E-2</v>
      </c>
      <c r="I25" s="153">
        <v>21.9</v>
      </c>
      <c r="J25" s="137" t="s">
        <v>40</v>
      </c>
    </row>
    <row r="26" spans="2:10" x14ac:dyDescent="0.25">
      <c r="B26" s="136" t="s">
        <v>161</v>
      </c>
      <c r="C26" s="137">
        <v>5.2999999999999999E-2</v>
      </c>
      <c r="D26" s="137">
        <v>2.5999999999999999E-2</v>
      </c>
      <c r="E26" s="137">
        <v>10.9</v>
      </c>
      <c r="F26" s="137" t="s">
        <v>40</v>
      </c>
      <c r="G26" s="137">
        <v>0.112</v>
      </c>
      <c r="H26" s="137">
        <v>4.2000000000000003E-2</v>
      </c>
      <c r="I26" s="153">
        <v>9.4</v>
      </c>
      <c r="J26" s="137" t="s">
        <v>40</v>
      </c>
    </row>
    <row r="27" spans="2:10" x14ac:dyDescent="0.25">
      <c r="B27" s="136" t="s">
        <v>162</v>
      </c>
      <c r="C27" s="137">
        <v>5.7000000000000002E-2</v>
      </c>
      <c r="D27" s="137">
        <v>2.8000000000000001E-2</v>
      </c>
      <c r="E27" s="183">
        <v>11.6</v>
      </c>
      <c r="F27" s="137" t="s">
        <v>40</v>
      </c>
      <c r="G27" s="183">
        <v>3.4000000000000002E-2</v>
      </c>
      <c r="H27" s="183">
        <v>1.7999999999999999E-2</v>
      </c>
      <c r="I27" s="190">
        <v>10.75</v>
      </c>
      <c r="J27" s="137" t="s">
        <v>40</v>
      </c>
    </row>
    <row r="30" spans="2:10" ht="31.5" x14ac:dyDescent="0.25">
      <c r="B30" s="138" t="s">
        <v>46</v>
      </c>
      <c r="C30" s="139" t="s">
        <v>172</v>
      </c>
      <c r="D30" s="139" t="s">
        <v>183</v>
      </c>
      <c r="E30" s="136" t="s">
        <v>60</v>
      </c>
    </row>
    <row r="31" spans="2:10" x14ac:dyDescent="0.25">
      <c r="B31" s="140" t="s">
        <v>49</v>
      </c>
      <c r="C31" s="151">
        <v>64</v>
      </c>
      <c r="D31" s="147">
        <v>32</v>
      </c>
      <c r="E31" s="147">
        <v>64</v>
      </c>
    </row>
    <row r="32" spans="2:10" x14ac:dyDescent="0.25">
      <c r="B32" s="140" t="s">
        <v>50</v>
      </c>
      <c r="C32" s="151">
        <v>32</v>
      </c>
      <c r="D32" s="141">
        <v>16</v>
      </c>
      <c r="E32" s="141">
        <v>32</v>
      </c>
    </row>
    <row r="33" spans="2:14" x14ac:dyDescent="0.25">
      <c r="B33" s="140" t="s">
        <v>51</v>
      </c>
      <c r="C33" s="151">
        <v>8</v>
      </c>
      <c r="D33" s="141">
        <v>8</v>
      </c>
      <c r="E33" s="141">
        <v>8</v>
      </c>
    </row>
    <row r="35" spans="2:14" x14ac:dyDescent="0.25">
      <c r="B35" s="154" t="s">
        <v>187</v>
      </c>
      <c r="C35" s="139" t="s">
        <v>62</v>
      </c>
      <c r="D35" s="139" t="s">
        <v>188</v>
      </c>
    </row>
    <row r="36" spans="2:14" x14ac:dyDescent="0.25">
      <c r="B36" s="136" t="s">
        <v>39</v>
      </c>
      <c r="C36" s="136" t="s">
        <v>40</v>
      </c>
      <c r="D36" s="136" t="s">
        <v>40</v>
      </c>
    </row>
    <row r="37" spans="2:14" x14ac:dyDescent="0.25">
      <c r="B37" s="136" t="s">
        <v>43</v>
      </c>
      <c r="C37" s="136" t="s">
        <v>40</v>
      </c>
      <c r="D37" s="136" t="s">
        <v>40</v>
      </c>
    </row>
    <row r="38" spans="2:14" x14ac:dyDescent="0.25">
      <c r="B38" s="136" t="s">
        <v>190</v>
      </c>
      <c r="C38" s="136" t="s">
        <v>40</v>
      </c>
      <c r="D38" s="136" t="s">
        <v>40</v>
      </c>
    </row>
    <row r="39" spans="2:14" x14ac:dyDescent="0.25">
      <c r="B39" s="140" t="s">
        <v>189</v>
      </c>
      <c r="C39" s="147">
        <v>17.7</v>
      </c>
      <c r="D39" s="147">
        <v>9.1</v>
      </c>
    </row>
    <row r="42" spans="2:14" x14ac:dyDescent="0.25">
      <c r="B42" s="234" t="s">
        <v>200</v>
      </c>
      <c r="C42" s="235" t="s">
        <v>197</v>
      </c>
      <c r="D42" s="235"/>
      <c r="E42" s="235"/>
      <c r="F42" s="236" t="s">
        <v>198</v>
      </c>
      <c r="G42" s="236"/>
      <c r="H42" s="236"/>
      <c r="I42" s="237" t="s">
        <v>59</v>
      </c>
      <c r="J42" s="237"/>
      <c r="K42" s="237"/>
      <c r="L42" s="238" t="s">
        <v>199</v>
      </c>
      <c r="M42" s="238"/>
      <c r="N42" s="238"/>
    </row>
    <row r="43" spans="2:14" x14ac:dyDescent="0.25">
      <c r="B43" s="234"/>
      <c r="C43" s="170" t="s">
        <v>36</v>
      </c>
      <c r="D43" s="170" t="s">
        <v>37</v>
      </c>
      <c r="E43" s="170" t="s">
        <v>38</v>
      </c>
      <c r="F43" s="171" t="s">
        <v>36</v>
      </c>
      <c r="G43" s="171" t="s">
        <v>37</v>
      </c>
      <c r="H43" s="171" t="s">
        <v>38</v>
      </c>
      <c r="I43" s="172" t="s">
        <v>36</v>
      </c>
      <c r="J43" s="172" t="s">
        <v>37</v>
      </c>
      <c r="K43" s="172" t="s">
        <v>38</v>
      </c>
      <c r="L43" s="173" t="s">
        <v>36</v>
      </c>
      <c r="M43" s="173" t="s">
        <v>37</v>
      </c>
      <c r="N43" s="173" t="s">
        <v>38</v>
      </c>
    </row>
    <row r="44" spans="2:14" x14ac:dyDescent="0.25">
      <c r="B44" s="169" t="s">
        <v>39</v>
      </c>
      <c r="C44" s="174" t="s">
        <v>40</v>
      </c>
      <c r="D44" s="174" t="s">
        <v>40</v>
      </c>
      <c r="E44" s="174" t="s">
        <v>40</v>
      </c>
      <c r="F44" s="175" t="s">
        <v>40</v>
      </c>
      <c r="G44" s="175" t="s">
        <v>40</v>
      </c>
      <c r="H44" s="175" t="s">
        <v>40</v>
      </c>
      <c r="I44" s="176" t="s">
        <v>40</v>
      </c>
      <c r="J44" s="176" t="s">
        <v>40</v>
      </c>
      <c r="K44" s="176" t="s">
        <v>40</v>
      </c>
      <c r="L44" s="173" t="s">
        <v>40</v>
      </c>
      <c r="M44" s="173" t="s">
        <v>40</v>
      </c>
      <c r="N44" s="173" t="s">
        <v>40</v>
      </c>
    </row>
    <row r="45" spans="2:14" x14ac:dyDescent="0.25">
      <c r="B45" s="169" t="s">
        <v>43</v>
      </c>
      <c r="C45" s="174" t="s">
        <v>40</v>
      </c>
      <c r="D45" s="174" t="s">
        <v>40</v>
      </c>
      <c r="E45" s="174" t="s">
        <v>40</v>
      </c>
      <c r="F45" s="175" t="s">
        <v>40</v>
      </c>
      <c r="G45" s="175" t="s">
        <v>40</v>
      </c>
      <c r="H45" s="175" t="s">
        <v>40</v>
      </c>
      <c r="I45" s="176" t="s">
        <v>40</v>
      </c>
      <c r="J45" s="176" t="s">
        <v>40</v>
      </c>
      <c r="K45" s="176" t="s">
        <v>40</v>
      </c>
      <c r="L45" s="173" t="s">
        <v>40</v>
      </c>
      <c r="M45" s="173" t="s">
        <v>40</v>
      </c>
      <c r="N45" s="173" t="s">
        <v>41</v>
      </c>
    </row>
    <row r="46" spans="2:14" x14ac:dyDescent="0.25">
      <c r="B46" s="169" t="s">
        <v>190</v>
      </c>
      <c r="C46" s="177">
        <v>6.0000000000000001E-3</v>
      </c>
      <c r="D46" s="177">
        <v>3.1900000000000001E-3</v>
      </c>
      <c r="E46" s="177">
        <v>53.6</v>
      </c>
      <c r="F46" s="179">
        <v>2.9999999999999997E-4</v>
      </c>
      <c r="G46" s="179">
        <v>1.7000000000000001E-4</v>
      </c>
      <c r="H46" s="179">
        <v>0.68</v>
      </c>
      <c r="I46" s="178">
        <v>6.8999999999999999E-3</v>
      </c>
      <c r="J46" s="178">
        <v>3.4199999999999999E-3</v>
      </c>
      <c r="K46" s="178">
        <v>52.99</v>
      </c>
      <c r="L46" s="180">
        <v>5.7000000000000002E-3</v>
      </c>
      <c r="M46" s="180">
        <v>2.1199999999999999E-3</v>
      </c>
      <c r="N46" s="180">
        <v>14.89</v>
      </c>
    </row>
    <row r="47" spans="2:14" x14ac:dyDescent="0.25">
      <c r="B47" s="169" t="s">
        <v>45</v>
      </c>
      <c r="C47" s="174" t="s">
        <v>40</v>
      </c>
      <c r="D47" s="174" t="s">
        <v>40</v>
      </c>
      <c r="E47" s="174" t="s">
        <v>40</v>
      </c>
      <c r="F47" s="175" t="s">
        <v>40</v>
      </c>
      <c r="G47" s="175" t="s">
        <v>40</v>
      </c>
      <c r="H47" s="175" t="s">
        <v>40</v>
      </c>
      <c r="I47" s="176" t="s">
        <v>40</v>
      </c>
      <c r="J47" s="176" t="s">
        <v>40</v>
      </c>
      <c r="K47" s="176" t="s">
        <v>40</v>
      </c>
      <c r="L47" s="173" t="s">
        <v>40</v>
      </c>
      <c r="M47" s="173" t="s">
        <v>40</v>
      </c>
      <c r="N47" s="173" t="s">
        <v>41</v>
      </c>
    </row>
    <row r="49" spans="2:3" x14ac:dyDescent="0.25">
      <c r="B49" s="132" t="s">
        <v>164</v>
      </c>
    </row>
    <row r="50" spans="2:3" x14ac:dyDescent="0.25">
      <c r="B50" s="136" t="s">
        <v>158</v>
      </c>
      <c r="C50" s="132" t="s">
        <v>165</v>
      </c>
    </row>
    <row r="51" spans="2:3" x14ac:dyDescent="0.25">
      <c r="B51" s="136" t="s">
        <v>166</v>
      </c>
    </row>
    <row r="52" spans="2:3" x14ac:dyDescent="0.25">
      <c r="B52" s="136" t="s">
        <v>159</v>
      </c>
    </row>
    <row r="53" spans="2:3" x14ac:dyDescent="0.25">
      <c r="B53" s="136" t="s">
        <v>160</v>
      </c>
    </row>
    <row r="54" spans="2:3" x14ac:dyDescent="0.25">
      <c r="B54" s="136" t="s">
        <v>161</v>
      </c>
    </row>
    <row r="55" spans="2:3" x14ac:dyDescent="0.25">
      <c r="B55" s="136" t="s">
        <v>162</v>
      </c>
    </row>
  </sheetData>
  <mergeCells count="13">
    <mergeCell ref="B42:B43"/>
    <mergeCell ref="C42:E42"/>
    <mergeCell ref="F42:H42"/>
    <mergeCell ref="I42:K42"/>
    <mergeCell ref="L42:N42"/>
    <mergeCell ref="B20:B21"/>
    <mergeCell ref="C20:F20"/>
    <mergeCell ref="G20:J20"/>
    <mergeCell ref="B4:B5"/>
    <mergeCell ref="C4:F4"/>
    <mergeCell ref="B11:B12"/>
    <mergeCell ref="C11:F11"/>
    <mergeCell ref="G11:J11"/>
  </mergeCells>
  <phoneticPr fontId="23"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opLeftCell="A2" workbookViewId="0">
      <selection activeCell="H21" sqref="H21"/>
    </sheetView>
  </sheetViews>
  <sheetFormatPr defaultColWidth="9.140625" defaultRowHeight="15.75" x14ac:dyDescent="0.25"/>
  <cols>
    <col min="1" max="1" width="9.140625" style="132"/>
    <col min="2" max="2" width="26.5703125" style="132" customWidth="1"/>
    <col min="3" max="3" width="13" style="132" customWidth="1"/>
    <col min="4" max="4" width="11.5703125" style="132" customWidth="1"/>
    <col min="5" max="5" width="12" style="132" customWidth="1"/>
    <col min="6" max="6" width="11.42578125" style="132" customWidth="1"/>
    <col min="7" max="10" width="13.5703125" style="132" customWidth="1"/>
    <col min="11" max="13" width="9.140625" style="132"/>
    <col min="14" max="14" width="14.5703125" style="132" customWidth="1"/>
    <col min="15" max="16384" width="9.140625" style="132"/>
  </cols>
  <sheetData>
    <row r="1" spans="1:13" x14ac:dyDescent="0.25">
      <c r="B1" s="133" t="s">
        <v>30</v>
      </c>
      <c r="C1" s="133"/>
      <c r="D1" s="133"/>
    </row>
    <row r="2" spans="1:13" x14ac:dyDescent="0.25">
      <c r="A2" s="132" t="s">
        <v>151</v>
      </c>
      <c r="B2" s="201" t="s">
        <v>248</v>
      </c>
      <c r="C2" s="135"/>
      <c r="D2" s="135"/>
    </row>
    <row r="4" spans="1:13" x14ac:dyDescent="0.25">
      <c r="B4" s="231" t="s">
        <v>152</v>
      </c>
      <c r="C4" s="233" t="s">
        <v>87</v>
      </c>
      <c r="D4" s="233"/>
      <c r="E4" s="233"/>
      <c r="F4" s="233"/>
      <c r="J4" s="145"/>
      <c r="K4" s="145"/>
      <c r="L4" s="145"/>
      <c r="M4" s="145"/>
    </row>
    <row r="5" spans="1:13" x14ac:dyDescent="0.25">
      <c r="B5" s="232"/>
      <c r="C5" s="136" t="s">
        <v>153</v>
      </c>
      <c r="D5" s="136" t="s">
        <v>154</v>
      </c>
      <c r="E5" s="136" t="s">
        <v>38</v>
      </c>
      <c r="F5" s="136" t="s">
        <v>155</v>
      </c>
      <c r="J5" s="145"/>
      <c r="K5" s="145"/>
      <c r="L5" s="145"/>
      <c r="M5" s="145"/>
    </row>
    <row r="6" spans="1:13" x14ac:dyDescent="0.25">
      <c r="B6" s="136" t="s">
        <v>176</v>
      </c>
      <c r="C6" s="137">
        <v>4.1000000000000003E-3</v>
      </c>
      <c r="D6" s="137">
        <v>1.6000000000000001E-3</v>
      </c>
      <c r="E6" s="183">
        <v>0.112</v>
      </c>
      <c r="F6" s="136" t="s">
        <v>40</v>
      </c>
      <c r="J6" s="145"/>
      <c r="K6" s="145"/>
      <c r="L6" s="145"/>
      <c r="M6" s="145"/>
    </row>
    <row r="7" spans="1:13" x14ac:dyDescent="0.25">
      <c r="B7" s="136" t="s">
        <v>175</v>
      </c>
      <c r="C7" s="137">
        <v>2E-3</v>
      </c>
      <c r="D7" s="137">
        <v>1E-3</v>
      </c>
      <c r="E7" s="137">
        <v>0.83</v>
      </c>
      <c r="F7" s="136" t="s">
        <v>40</v>
      </c>
      <c r="J7" s="145"/>
      <c r="K7" s="145"/>
      <c r="L7" s="145"/>
      <c r="M7" s="145"/>
    </row>
    <row r="8" spans="1:13" x14ac:dyDescent="0.25">
      <c r="B8" s="136" t="s">
        <v>174</v>
      </c>
      <c r="C8" s="137">
        <v>1.8E-3</v>
      </c>
      <c r="D8" s="137">
        <v>6.9999999999999999E-4</v>
      </c>
      <c r="E8" s="137">
        <v>0.87</v>
      </c>
      <c r="F8" s="137">
        <v>1.05</v>
      </c>
      <c r="J8" s="145"/>
      <c r="K8" s="145"/>
      <c r="L8" s="145"/>
      <c r="M8" s="145"/>
    </row>
    <row r="9" spans="1:13" x14ac:dyDescent="0.25">
      <c r="B9" s="136" t="s">
        <v>173</v>
      </c>
      <c r="C9" s="137">
        <v>7.1999999999999998E-3</v>
      </c>
      <c r="D9" s="137">
        <v>1.9E-3</v>
      </c>
      <c r="E9" s="137">
        <v>0.91</v>
      </c>
      <c r="F9" s="136" t="s">
        <v>40</v>
      </c>
      <c r="J9" s="145"/>
      <c r="K9" s="145"/>
      <c r="L9" s="145"/>
      <c r="M9" s="145"/>
    </row>
    <row r="11" spans="1:13" x14ac:dyDescent="0.25">
      <c r="B11" s="231" t="s">
        <v>156</v>
      </c>
      <c r="C11" s="233" t="s">
        <v>87</v>
      </c>
      <c r="D11" s="233"/>
      <c r="E11" s="233"/>
      <c r="F11" s="233"/>
      <c r="G11" s="233" t="s">
        <v>157</v>
      </c>
      <c r="H11" s="233"/>
      <c r="I11" s="233"/>
      <c r="J11" s="233"/>
      <c r="K11" s="132">
        <v>1.2</v>
      </c>
    </row>
    <row r="12" spans="1:13" x14ac:dyDescent="0.25">
      <c r="B12" s="232"/>
      <c r="C12" s="136" t="s">
        <v>153</v>
      </c>
      <c r="D12" s="136" t="s">
        <v>154</v>
      </c>
      <c r="E12" s="136" t="s">
        <v>38</v>
      </c>
      <c r="F12" s="136" t="s">
        <v>155</v>
      </c>
      <c r="G12" s="136" t="s">
        <v>153</v>
      </c>
      <c r="H12" s="136" t="s">
        <v>154</v>
      </c>
      <c r="I12" s="136" t="s">
        <v>38</v>
      </c>
      <c r="J12" s="136" t="s">
        <v>155</v>
      </c>
      <c r="L12" s="132" t="s">
        <v>247</v>
      </c>
    </row>
    <row r="13" spans="1:13" x14ac:dyDescent="0.25">
      <c r="B13" s="136" t="s">
        <v>158</v>
      </c>
      <c r="C13" s="137" t="s">
        <v>245</v>
      </c>
      <c r="D13" s="137" t="s">
        <v>245</v>
      </c>
      <c r="E13" s="137" t="s">
        <v>245</v>
      </c>
      <c r="F13" s="137" t="s">
        <v>245</v>
      </c>
      <c r="G13" s="137" t="s">
        <v>245</v>
      </c>
      <c r="H13" s="137" t="s">
        <v>245</v>
      </c>
      <c r="I13" s="137" t="s">
        <v>245</v>
      </c>
      <c r="J13" s="137" t="s">
        <v>245</v>
      </c>
      <c r="L13" s="202" t="s">
        <v>250</v>
      </c>
    </row>
    <row r="14" spans="1:13" x14ac:dyDescent="0.25">
      <c r="B14" s="136" t="s">
        <v>166</v>
      </c>
      <c r="C14" s="137">
        <v>0.28199999999999997</v>
      </c>
      <c r="D14" s="137">
        <v>9.4E-2</v>
      </c>
      <c r="E14" s="137">
        <v>195.9</v>
      </c>
      <c r="F14" s="137">
        <v>1.3</v>
      </c>
      <c r="G14" s="137">
        <f>C14*K11</f>
        <v>0.33839999999999998</v>
      </c>
      <c r="H14" s="137">
        <f>D14*K11</f>
        <v>0.1128</v>
      </c>
      <c r="I14" s="137">
        <f>E14*K11</f>
        <v>235.07999999999998</v>
      </c>
      <c r="J14" s="137">
        <f>F14*K11</f>
        <v>1.56</v>
      </c>
    </row>
    <row r="15" spans="1:13" x14ac:dyDescent="0.25">
      <c r="B15" s="136" t="s">
        <v>159</v>
      </c>
      <c r="C15" s="137">
        <v>4.4999999999999998E-2</v>
      </c>
      <c r="D15" s="137">
        <v>1.7000000000000001E-2</v>
      </c>
      <c r="E15" s="137">
        <v>127.2</v>
      </c>
      <c r="F15" s="137">
        <v>137.69999999999999</v>
      </c>
      <c r="G15" s="137">
        <f>C15*K11</f>
        <v>5.3999999999999999E-2</v>
      </c>
      <c r="H15" s="137">
        <f>D15*K11</f>
        <v>2.0400000000000001E-2</v>
      </c>
      <c r="I15" s="137">
        <f>E15*K11</f>
        <v>152.63999999999999</v>
      </c>
      <c r="J15" s="137">
        <f>F15*K11</f>
        <v>165.23999999999998</v>
      </c>
    </row>
    <row r="16" spans="1:13" x14ac:dyDescent="0.25">
      <c r="B16" s="136" t="s">
        <v>160</v>
      </c>
      <c r="C16" s="137">
        <v>7.1999999999999995E-2</v>
      </c>
      <c r="D16" s="137">
        <v>3.4000000000000002E-2</v>
      </c>
      <c r="E16" s="137">
        <v>87.3</v>
      </c>
      <c r="F16" s="137" t="s">
        <v>40</v>
      </c>
      <c r="G16" s="137">
        <f>C16*K11</f>
        <v>8.6399999999999991E-2</v>
      </c>
      <c r="H16" s="137">
        <f>D16*K11</f>
        <v>4.0800000000000003E-2</v>
      </c>
      <c r="I16" s="137">
        <f>E16*K11</f>
        <v>104.75999999999999</v>
      </c>
      <c r="J16" s="137" t="s">
        <v>40</v>
      </c>
    </row>
    <row r="17" spans="2:11" x14ac:dyDescent="0.25">
      <c r="B17" s="136" t="s">
        <v>161</v>
      </c>
      <c r="C17" s="137">
        <v>0.17</v>
      </c>
      <c r="D17" s="183">
        <v>8.7999999999999995E-2</v>
      </c>
      <c r="E17" s="137">
        <v>77.3</v>
      </c>
      <c r="F17" s="137" t="s">
        <v>40</v>
      </c>
      <c r="G17" s="137">
        <f>C17*K11</f>
        <v>0.20400000000000001</v>
      </c>
      <c r="H17" s="137">
        <f>D17*K11</f>
        <v>0.10559999999999999</v>
      </c>
      <c r="I17" s="137">
        <f>E17*K11</f>
        <v>92.759999999999991</v>
      </c>
      <c r="J17" s="137" t="s">
        <v>40</v>
      </c>
    </row>
    <row r="18" spans="2:11" x14ac:dyDescent="0.25">
      <c r="B18" s="136" t="s">
        <v>162</v>
      </c>
      <c r="C18" s="137">
        <v>0.13500000000000001</v>
      </c>
      <c r="D18" s="137">
        <v>7.0000000000000007E-2</v>
      </c>
      <c r="E18" s="137">
        <v>69.7</v>
      </c>
      <c r="F18" s="137" t="s">
        <v>40</v>
      </c>
      <c r="G18" s="137">
        <f>C18*K11</f>
        <v>0.16200000000000001</v>
      </c>
      <c r="H18" s="137">
        <f>D18*K11</f>
        <v>8.4000000000000005E-2</v>
      </c>
      <c r="I18" s="137">
        <f>E18*K11</f>
        <v>83.64</v>
      </c>
      <c r="J18" s="137" t="s">
        <v>40</v>
      </c>
    </row>
    <row r="20" spans="2:11" x14ac:dyDescent="0.25">
      <c r="B20" s="231" t="s">
        <v>163</v>
      </c>
      <c r="C20" s="233" t="s">
        <v>87</v>
      </c>
      <c r="D20" s="233"/>
      <c r="E20" s="233"/>
      <c r="F20" s="233"/>
      <c r="G20" s="233" t="s">
        <v>246</v>
      </c>
      <c r="H20" s="233"/>
      <c r="I20" s="233"/>
      <c r="J20" s="233"/>
      <c r="K20" s="132">
        <v>1.2</v>
      </c>
    </row>
    <row r="21" spans="2:11" x14ac:dyDescent="0.25">
      <c r="B21" s="232"/>
      <c r="C21" s="136" t="s">
        <v>153</v>
      </c>
      <c r="D21" s="136" t="s">
        <v>154</v>
      </c>
      <c r="E21" s="136" t="s">
        <v>38</v>
      </c>
      <c r="F21" s="136" t="s">
        <v>155</v>
      </c>
      <c r="G21" s="136" t="s">
        <v>153</v>
      </c>
      <c r="H21" s="136" t="s">
        <v>154</v>
      </c>
      <c r="I21" s="136" t="s">
        <v>38</v>
      </c>
      <c r="J21" s="136" t="s">
        <v>155</v>
      </c>
    </row>
    <row r="22" spans="2:11" x14ac:dyDescent="0.25">
      <c r="B22" s="136" t="s">
        <v>242</v>
      </c>
      <c r="C22" s="137">
        <v>6.4000000000000001E-2</v>
      </c>
      <c r="D22" s="137">
        <v>1.6E-2</v>
      </c>
      <c r="E22" s="183">
        <v>6.9</v>
      </c>
      <c r="F22" s="137" t="s">
        <v>40</v>
      </c>
      <c r="G22" s="137">
        <f>C22*K20</f>
        <v>7.6799999999999993E-2</v>
      </c>
      <c r="H22" s="137">
        <f>D22*K20</f>
        <v>1.9199999999999998E-2</v>
      </c>
      <c r="I22" s="183">
        <f>E22*K20</f>
        <v>8.2799999999999994</v>
      </c>
      <c r="J22" s="137" t="s">
        <v>40</v>
      </c>
    </row>
    <row r="23" spans="2:11" x14ac:dyDescent="0.25">
      <c r="B23" s="136" t="s">
        <v>166</v>
      </c>
      <c r="C23" s="137">
        <v>8.9999999999999993E-3</v>
      </c>
      <c r="D23" s="137">
        <v>4.0000000000000001E-3</v>
      </c>
      <c r="E23" s="137">
        <v>17.100000000000001</v>
      </c>
      <c r="F23" s="137">
        <v>0.2</v>
      </c>
      <c r="G23" s="137">
        <f>C23*K20</f>
        <v>1.0799999999999999E-2</v>
      </c>
      <c r="H23" s="137">
        <f>D23*K20</f>
        <v>4.7999999999999996E-3</v>
      </c>
      <c r="I23" s="183">
        <f>E23*K20</f>
        <v>20.52</v>
      </c>
      <c r="J23" s="137">
        <f>F23*K20</f>
        <v>0.24</v>
      </c>
    </row>
    <row r="24" spans="2:11" x14ac:dyDescent="0.25">
      <c r="B24" s="136" t="s">
        <v>243</v>
      </c>
      <c r="C24" s="137">
        <v>6.0000000000000001E-3</v>
      </c>
      <c r="D24" s="137">
        <v>2E-3</v>
      </c>
      <c r="E24" s="137">
        <v>5.8</v>
      </c>
      <c r="F24" s="137">
        <v>7.9</v>
      </c>
      <c r="G24" s="137">
        <f>C24*K20</f>
        <v>7.1999999999999998E-3</v>
      </c>
      <c r="H24" s="137">
        <f>D24*K20</f>
        <v>2.3999999999999998E-3</v>
      </c>
      <c r="I24" s="183">
        <f>E24*K20</f>
        <v>6.96</v>
      </c>
      <c r="J24" s="137">
        <f>F24*K20</f>
        <v>9.48</v>
      </c>
    </row>
    <row r="25" spans="2:11" x14ac:dyDescent="0.25">
      <c r="B25" s="136" t="s">
        <v>160</v>
      </c>
      <c r="C25" s="137">
        <v>1.9E-2</v>
      </c>
      <c r="D25" s="137">
        <v>8.9999999999999993E-3</v>
      </c>
      <c r="E25" s="137">
        <v>17.100000000000001</v>
      </c>
      <c r="F25" s="137" t="s">
        <v>40</v>
      </c>
      <c r="G25" s="137">
        <f>C25*K20</f>
        <v>2.2799999999999997E-2</v>
      </c>
      <c r="H25" s="137">
        <f>D25*K20</f>
        <v>1.0799999999999999E-2</v>
      </c>
      <c r="I25" s="183">
        <f>E25*K20</f>
        <v>20.52</v>
      </c>
      <c r="J25" s="137" t="s">
        <v>40</v>
      </c>
    </row>
    <row r="26" spans="2:11" x14ac:dyDescent="0.25">
      <c r="B26" s="136" t="s">
        <v>244</v>
      </c>
      <c r="C26" s="137">
        <v>3.5000000000000003E-2</v>
      </c>
      <c r="D26" s="137">
        <v>1.4E-2</v>
      </c>
      <c r="E26" s="137">
        <v>3.2</v>
      </c>
      <c r="F26" s="137" t="s">
        <v>40</v>
      </c>
      <c r="G26" s="137">
        <f>C26*K20</f>
        <v>4.2000000000000003E-2</v>
      </c>
      <c r="H26" s="137">
        <f>D26*K20</f>
        <v>1.6799999999999999E-2</v>
      </c>
      <c r="I26" s="183">
        <f>E26*K20</f>
        <v>3.84</v>
      </c>
      <c r="J26" s="137" t="s">
        <v>40</v>
      </c>
    </row>
    <row r="27" spans="2:11" x14ac:dyDescent="0.25">
      <c r="B27" s="136" t="s">
        <v>162</v>
      </c>
      <c r="C27" s="137">
        <v>0.08</v>
      </c>
      <c r="D27" s="137">
        <v>3.5999999999999997E-2</v>
      </c>
      <c r="E27" s="183">
        <v>16.8</v>
      </c>
      <c r="F27" s="137" t="s">
        <v>40</v>
      </c>
      <c r="G27" s="137">
        <f>C27*K20</f>
        <v>9.6000000000000002E-2</v>
      </c>
      <c r="H27" s="137">
        <f>D27*K20</f>
        <v>4.3199999999999995E-2</v>
      </c>
      <c r="I27" s="183">
        <f>E27*K20</f>
        <v>20.16</v>
      </c>
      <c r="J27" s="137" t="s">
        <v>40</v>
      </c>
    </row>
    <row r="30" spans="2:11" ht="31.5" x14ac:dyDescent="0.25">
      <c r="B30" s="169" t="s">
        <v>46</v>
      </c>
      <c r="C30" s="139" t="s">
        <v>172</v>
      </c>
      <c r="D30" s="139" t="s">
        <v>183</v>
      </c>
      <c r="E30" s="136" t="s">
        <v>60</v>
      </c>
    </row>
    <row r="31" spans="2:11" x14ac:dyDescent="0.25">
      <c r="B31" s="140" t="s">
        <v>49</v>
      </c>
      <c r="C31" s="151">
        <v>64</v>
      </c>
      <c r="D31" s="147">
        <v>32</v>
      </c>
      <c r="E31" s="147">
        <v>64</v>
      </c>
    </row>
    <row r="32" spans="2:11" x14ac:dyDescent="0.25">
      <c r="B32" s="140" t="s">
        <v>50</v>
      </c>
      <c r="C32" s="151">
        <v>32</v>
      </c>
      <c r="D32" s="141">
        <v>16</v>
      </c>
      <c r="E32" s="141">
        <v>32</v>
      </c>
    </row>
    <row r="33" spans="2:14" x14ac:dyDescent="0.25">
      <c r="B33" s="140" t="s">
        <v>51</v>
      </c>
      <c r="C33" s="151">
        <v>8</v>
      </c>
      <c r="D33" s="141">
        <v>8</v>
      </c>
      <c r="E33" s="141">
        <v>8</v>
      </c>
    </row>
    <row r="35" spans="2:14" x14ac:dyDescent="0.25">
      <c r="B35" s="154" t="s">
        <v>187</v>
      </c>
      <c r="C35" s="139" t="s">
        <v>62</v>
      </c>
      <c r="D35" s="139" t="s">
        <v>188</v>
      </c>
    </row>
    <row r="36" spans="2:14" x14ac:dyDescent="0.25">
      <c r="B36" s="136" t="s">
        <v>39</v>
      </c>
      <c r="C36" s="136" t="s">
        <v>40</v>
      </c>
      <c r="D36" s="136" t="s">
        <v>40</v>
      </c>
    </row>
    <row r="37" spans="2:14" x14ac:dyDescent="0.25">
      <c r="B37" s="136" t="s">
        <v>43</v>
      </c>
      <c r="C37" s="136" t="s">
        <v>40</v>
      </c>
      <c r="D37" s="136" t="s">
        <v>40</v>
      </c>
    </row>
    <row r="38" spans="2:14" x14ac:dyDescent="0.25">
      <c r="B38" s="136" t="s">
        <v>190</v>
      </c>
      <c r="C38" s="136" t="s">
        <v>40</v>
      </c>
      <c r="D38" s="136" t="s">
        <v>40</v>
      </c>
    </row>
    <row r="39" spans="2:14" x14ac:dyDescent="0.25">
      <c r="B39" s="140" t="s">
        <v>189</v>
      </c>
      <c r="C39" s="147">
        <v>26</v>
      </c>
      <c r="D39" s="147">
        <v>13.4</v>
      </c>
    </row>
    <row r="42" spans="2:14" x14ac:dyDescent="0.25">
      <c r="B42" s="234" t="s">
        <v>200</v>
      </c>
      <c r="C42" s="235" t="s">
        <v>197</v>
      </c>
      <c r="D42" s="235"/>
      <c r="E42" s="235"/>
      <c r="F42" s="236" t="s">
        <v>198</v>
      </c>
      <c r="G42" s="236"/>
      <c r="H42" s="236"/>
      <c r="I42" s="237" t="s">
        <v>59</v>
      </c>
      <c r="J42" s="237"/>
      <c r="K42" s="237"/>
      <c r="L42" s="238" t="s">
        <v>199</v>
      </c>
      <c r="M42" s="238"/>
      <c r="N42" s="238"/>
    </row>
    <row r="43" spans="2:14" x14ac:dyDescent="0.25">
      <c r="B43" s="234"/>
      <c r="C43" s="170" t="s">
        <v>36</v>
      </c>
      <c r="D43" s="170" t="s">
        <v>37</v>
      </c>
      <c r="E43" s="170" t="s">
        <v>38</v>
      </c>
      <c r="F43" s="171" t="s">
        <v>36</v>
      </c>
      <c r="G43" s="171" t="s">
        <v>37</v>
      </c>
      <c r="H43" s="171" t="s">
        <v>38</v>
      </c>
      <c r="I43" s="172" t="s">
        <v>36</v>
      </c>
      <c r="J43" s="172" t="s">
        <v>37</v>
      </c>
      <c r="K43" s="172" t="s">
        <v>38</v>
      </c>
      <c r="L43" s="173" t="s">
        <v>36</v>
      </c>
      <c r="M43" s="173" t="s">
        <v>37</v>
      </c>
      <c r="N43" s="173" t="s">
        <v>38</v>
      </c>
    </row>
    <row r="44" spans="2:14" x14ac:dyDescent="0.25">
      <c r="B44" s="169" t="s">
        <v>39</v>
      </c>
      <c r="C44" s="174" t="s">
        <v>40</v>
      </c>
      <c r="D44" s="174" t="s">
        <v>40</v>
      </c>
      <c r="E44" s="174" t="s">
        <v>40</v>
      </c>
      <c r="F44" s="175" t="s">
        <v>40</v>
      </c>
      <c r="G44" s="175" t="s">
        <v>40</v>
      </c>
      <c r="H44" s="175" t="s">
        <v>40</v>
      </c>
      <c r="I44" s="176" t="s">
        <v>40</v>
      </c>
      <c r="J44" s="176" t="s">
        <v>40</v>
      </c>
      <c r="K44" s="176" t="s">
        <v>40</v>
      </c>
      <c r="L44" s="173" t="s">
        <v>40</v>
      </c>
      <c r="M44" s="173" t="s">
        <v>40</v>
      </c>
      <c r="N44" s="173" t="s">
        <v>40</v>
      </c>
    </row>
    <row r="45" spans="2:14" x14ac:dyDescent="0.25">
      <c r="B45" s="169" t="s">
        <v>43</v>
      </c>
      <c r="C45" s="174" t="s">
        <v>40</v>
      </c>
      <c r="D45" s="174" t="s">
        <v>40</v>
      </c>
      <c r="E45" s="174" t="s">
        <v>40</v>
      </c>
      <c r="F45" s="175" t="s">
        <v>40</v>
      </c>
      <c r="G45" s="175" t="s">
        <v>40</v>
      </c>
      <c r="H45" s="175" t="s">
        <v>40</v>
      </c>
      <c r="I45" s="176" t="s">
        <v>40</v>
      </c>
      <c r="J45" s="176" t="s">
        <v>40</v>
      </c>
      <c r="K45" s="176" t="s">
        <v>40</v>
      </c>
      <c r="L45" s="173" t="s">
        <v>40</v>
      </c>
      <c r="M45" s="173" t="s">
        <v>40</v>
      </c>
      <c r="N45" s="173" t="s">
        <v>41</v>
      </c>
    </row>
    <row r="46" spans="2:14" x14ac:dyDescent="0.25">
      <c r="B46" s="169" t="s">
        <v>190</v>
      </c>
      <c r="C46" s="177">
        <v>6.7999999999999996E-3</v>
      </c>
      <c r="D46" s="177">
        <v>3.3999999999999998E-3</v>
      </c>
      <c r="E46" s="177">
        <v>53.3</v>
      </c>
      <c r="F46" s="179">
        <v>1E-3</v>
      </c>
      <c r="G46" s="179">
        <v>2.7999999999999998E-4</v>
      </c>
      <c r="H46" s="179">
        <v>0.68</v>
      </c>
      <c r="I46" s="178">
        <v>2.3E-3</v>
      </c>
      <c r="J46" s="178">
        <v>1.2700000000000001E-3</v>
      </c>
      <c r="K46" s="178">
        <v>14.89</v>
      </c>
      <c r="L46" s="180">
        <v>1E-4</v>
      </c>
      <c r="M46" s="180">
        <v>3.0000000000000001E-5</v>
      </c>
      <c r="N46" s="180">
        <v>0.378</v>
      </c>
    </row>
    <row r="47" spans="2:14" x14ac:dyDescent="0.25">
      <c r="B47" s="169" t="s">
        <v>45</v>
      </c>
      <c r="C47" s="174" t="s">
        <v>40</v>
      </c>
      <c r="D47" s="174" t="s">
        <v>40</v>
      </c>
      <c r="E47" s="174" t="s">
        <v>40</v>
      </c>
      <c r="F47" s="175" t="s">
        <v>40</v>
      </c>
      <c r="G47" s="175" t="s">
        <v>40</v>
      </c>
      <c r="H47" s="175" t="s">
        <v>40</v>
      </c>
      <c r="I47" s="176" t="s">
        <v>40</v>
      </c>
      <c r="J47" s="176" t="s">
        <v>40</v>
      </c>
      <c r="K47" s="176" t="s">
        <v>40</v>
      </c>
      <c r="L47" s="173" t="s">
        <v>40</v>
      </c>
      <c r="M47" s="173" t="s">
        <v>40</v>
      </c>
      <c r="N47" s="173" t="s">
        <v>41</v>
      </c>
    </row>
    <row r="49" spans="2:5" x14ac:dyDescent="0.25">
      <c r="B49" s="132" t="s">
        <v>164</v>
      </c>
      <c r="E49" s="132" t="e">
        <f>'11.2Baseline'!C13:F18+'11.2Baseline'!G13:J18</f>
        <v>#VALUE!</v>
      </c>
    </row>
    <row r="50" spans="2:5" x14ac:dyDescent="0.25">
      <c r="B50" s="136" t="s">
        <v>158</v>
      </c>
      <c r="C50" s="132" t="s">
        <v>165</v>
      </c>
    </row>
    <row r="51" spans="2:5" x14ac:dyDescent="0.25">
      <c r="B51" s="136" t="s">
        <v>166</v>
      </c>
    </row>
    <row r="52" spans="2:5" x14ac:dyDescent="0.25">
      <c r="B52" s="136" t="s">
        <v>159</v>
      </c>
    </row>
    <row r="53" spans="2:5" x14ac:dyDescent="0.25">
      <c r="B53" s="136" t="s">
        <v>160</v>
      </c>
    </row>
    <row r="54" spans="2:5" x14ac:dyDescent="0.25">
      <c r="B54" s="136" t="s">
        <v>161</v>
      </c>
    </row>
    <row r="55" spans="2:5" x14ac:dyDescent="0.25">
      <c r="B55" s="136" t="s">
        <v>162</v>
      </c>
    </row>
  </sheetData>
  <mergeCells count="13">
    <mergeCell ref="B42:B43"/>
    <mergeCell ref="C42:E42"/>
    <mergeCell ref="F42:H42"/>
    <mergeCell ref="I42:K42"/>
    <mergeCell ref="L42:N42"/>
    <mergeCell ref="B20:B21"/>
    <mergeCell ref="C20:F20"/>
    <mergeCell ref="G20:J20"/>
    <mergeCell ref="B4:B5"/>
    <mergeCell ref="C4:F4"/>
    <mergeCell ref="B11:B12"/>
    <mergeCell ref="C11:F11"/>
    <mergeCell ref="G11:J11"/>
  </mergeCells>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9" workbookViewId="0">
      <selection activeCell="C34" sqref="C34"/>
    </sheetView>
  </sheetViews>
  <sheetFormatPr defaultRowHeight="15.75" x14ac:dyDescent="0.25"/>
  <cols>
    <col min="1" max="1" width="13.28515625" customWidth="1"/>
    <col min="2" max="2" width="12.28515625" style="199" customWidth="1"/>
    <col min="3" max="3" width="56.42578125" customWidth="1"/>
    <col min="4" max="4" width="17.85546875" customWidth="1"/>
    <col min="5" max="5" width="54.28515625" customWidth="1"/>
  </cols>
  <sheetData>
    <row r="1" spans="1:5" x14ac:dyDescent="0.25">
      <c r="A1" s="9" t="s">
        <v>9</v>
      </c>
      <c r="B1" s="10" t="s">
        <v>10</v>
      </c>
      <c r="C1" s="11" t="s">
        <v>11</v>
      </c>
      <c r="D1" s="9" t="s">
        <v>12</v>
      </c>
    </row>
    <row r="2" spans="1:5" x14ac:dyDescent="0.25">
      <c r="A2" t="s">
        <v>13</v>
      </c>
      <c r="B2" s="195"/>
      <c r="C2" t="s">
        <v>14</v>
      </c>
    </row>
    <row r="3" spans="1:5" ht="94.5" x14ac:dyDescent="0.25">
      <c r="A3" s="12" t="s">
        <v>15</v>
      </c>
      <c r="B3" s="196">
        <v>40802</v>
      </c>
      <c r="C3" s="13" t="s">
        <v>211</v>
      </c>
      <c r="D3" t="s">
        <v>16</v>
      </c>
      <c r="E3" s="14" t="s">
        <v>17</v>
      </c>
    </row>
    <row r="4" spans="1:5" x14ac:dyDescent="0.25">
      <c r="A4" t="s">
        <v>18</v>
      </c>
      <c r="B4" s="195">
        <v>41044</v>
      </c>
      <c r="C4" t="s">
        <v>19</v>
      </c>
      <c r="D4" t="s">
        <v>20</v>
      </c>
    </row>
    <row r="5" spans="1:5" x14ac:dyDescent="0.25">
      <c r="A5" t="s">
        <v>21</v>
      </c>
      <c r="B5" s="197">
        <v>41096</v>
      </c>
      <c r="C5" t="s">
        <v>22</v>
      </c>
      <c r="D5" t="s">
        <v>20</v>
      </c>
    </row>
    <row r="6" spans="1:5" x14ac:dyDescent="0.25">
      <c r="A6" t="s">
        <v>23</v>
      </c>
      <c r="B6" s="197">
        <v>41109</v>
      </c>
      <c r="C6" t="s">
        <v>24</v>
      </c>
      <c r="D6" t="s">
        <v>20</v>
      </c>
    </row>
    <row r="7" spans="1:5" x14ac:dyDescent="0.25">
      <c r="A7" t="s">
        <v>122</v>
      </c>
      <c r="B7" s="197">
        <v>41169</v>
      </c>
      <c r="C7" t="s">
        <v>128</v>
      </c>
      <c r="D7" t="s">
        <v>20</v>
      </c>
    </row>
    <row r="8" spans="1:5" x14ac:dyDescent="0.25">
      <c r="A8" t="s">
        <v>133</v>
      </c>
      <c r="B8" s="197">
        <v>41367</v>
      </c>
      <c r="C8" t="s">
        <v>134</v>
      </c>
      <c r="D8" t="s">
        <v>20</v>
      </c>
    </row>
    <row r="9" spans="1:5" x14ac:dyDescent="0.25">
      <c r="A9" t="s">
        <v>139</v>
      </c>
      <c r="B9" s="197">
        <v>41388</v>
      </c>
      <c r="C9" t="s">
        <v>138</v>
      </c>
      <c r="D9" t="s">
        <v>20</v>
      </c>
    </row>
    <row r="10" spans="1:5" x14ac:dyDescent="0.25">
      <c r="A10" t="s">
        <v>140</v>
      </c>
      <c r="B10" s="197">
        <v>41404</v>
      </c>
      <c r="C10" t="s">
        <v>141</v>
      </c>
      <c r="D10" t="s">
        <v>20</v>
      </c>
    </row>
    <row r="11" spans="1:5" x14ac:dyDescent="0.25">
      <c r="A11" t="s">
        <v>146</v>
      </c>
      <c r="B11" s="197">
        <v>41488</v>
      </c>
      <c r="C11" t="s">
        <v>148</v>
      </c>
      <c r="D11" t="s">
        <v>147</v>
      </c>
    </row>
    <row r="12" spans="1:5" x14ac:dyDescent="0.25">
      <c r="A12" t="s">
        <v>149</v>
      </c>
      <c r="B12" s="197">
        <v>41508</v>
      </c>
      <c r="C12" t="s">
        <v>150</v>
      </c>
      <c r="D12" t="s">
        <v>20</v>
      </c>
    </row>
    <row r="13" spans="1:5" x14ac:dyDescent="0.25">
      <c r="A13" t="s">
        <v>181</v>
      </c>
      <c r="B13" s="197">
        <v>41584</v>
      </c>
      <c r="C13" t="s">
        <v>182</v>
      </c>
      <c r="D13" t="s">
        <v>191</v>
      </c>
    </row>
    <row r="14" spans="1:5" ht="47.25" x14ac:dyDescent="0.25">
      <c r="A14" t="s">
        <v>185</v>
      </c>
      <c r="B14" s="197">
        <v>41585</v>
      </c>
      <c r="C14" s="155" t="s">
        <v>205</v>
      </c>
      <c r="D14" t="s">
        <v>191</v>
      </c>
    </row>
    <row r="15" spans="1:5" ht="31.5" x14ac:dyDescent="0.25">
      <c r="A15" s="182" t="s">
        <v>206</v>
      </c>
      <c r="B15" s="198">
        <v>41612</v>
      </c>
      <c r="C15" s="181" t="s">
        <v>207</v>
      </c>
      <c r="D15" s="182" t="s">
        <v>191</v>
      </c>
    </row>
    <row r="16" spans="1:5" ht="21" customHeight="1" x14ac:dyDescent="0.25">
      <c r="A16" s="184" t="s">
        <v>209</v>
      </c>
      <c r="B16" s="198">
        <v>41700</v>
      </c>
      <c r="C16" s="181" t="s">
        <v>217</v>
      </c>
      <c r="D16" s="182" t="s">
        <v>208</v>
      </c>
    </row>
    <row r="17" spans="1:4" ht="79.5" customHeight="1" x14ac:dyDescent="0.25">
      <c r="A17" s="184" t="s">
        <v>209</v>
      </c>
      <c r="B17" s="198">
        <v>41700</v>
      </c>
      <c r="C17" s="181" t="s">
        <v>227</v>
      </c>
      <c r="D17" s="182" t="s">
        <v>208</v>
      </c>
    </row>
    <row r="18" spans="1:4" ht="31.5" x14ac:dyDescent="0.25">
      <c r="A18" s="184" t="s">
        <v>209</v>
      </c>
      <c r="B18" s="198">
        <v>41700</v>
      </c>
      <c r="C18" s="181" t="s">
        <v>214</v>
      </c>
      <c r="D18" s="182" t="s">
        <v>208</v>
      </c>
    </row>
    <row r="19" spans="1:4" ht="47.25" x14ac:dyDescent="0.25">
      <c r="A19" s="184" t="s">
        <v>231</v>
      </c>
      <c r="B19" s="198">
        <v>41747</v>
      </c>
      <c r="C19" s="181" t="s">
        <v>232</v>
      </c>
      <c r="D19" s="182" t="s">
        <v>191</v>
      </c>
    </row>
  </sheetData>
  <phoneticPr fontId="2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defaultRowHeight="15.75" x14ac:dyDescent="0.25"/>
  <cols>
    <col min="1" max="1" width="132" style="17" customWidth="1"/>
  </cols>
  <sheetData>
    <row r="1" spans="1:1" x14ac:dyDescent="0.25">
      <c r="A1" s="15" t="s">
        <v>25</v>
      </c>
    </row>
    <row r="2" spans="1:1" x14ac:dyDescent="0.25">
      <c r="A2" s="16"/>
    </row>
    <row r="3" spans="1:1" ht="30.75" x14ac:dyDescent="0.25">
      <c r="A3" s="16" t="s">
        <v>26</v>
      </c>
    </row>
    <row r="4" spans="1:1" ht="45.75" x14ac:dyDescent="0.25">
      <c r="A4" s="16" t="s">
        <v>212</v>
      </c>
    </row>
    <row r="5" spans="1:1" ht="105.75" x14ac:dyDescent="0.25">
      <c r="A5" s="16" t="s">
        <v>27</v>
      </c>
    </row>
    <row r="6" spans="1:1" ht="75.75" x14ac:dyDescent="0.25">
      <c r="A6" s="16" t="s">
        <v>28</v>
      </c>
    </row>
    <row r="7" spans="1:1" ht="30.75" x14ac:dyDescent="0.25">
      <c r="A7" s="16" t="s">
        <v>144</v>
      </c>
    </row>
    <row r="8" spans="1:1" ht="60.75" x14ac:dyDescent="0.25">
      <c r="A8" s="16" t="s">
        <v>29</v>
      </c>
    </row>
  </sheetData>
  <phoneticPr fontId="2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7"/>
  <sheetViews>
    <sheetView zoomScale="85" zoomScaleNormal="85" workbookViewId="0">
      <selection activeCell="D10" sqref="D10"/>
    </sheetView>
  </sheetViews>
  <sheetFormatPr defaultColWidth="9.140625" defaultRowHeight="15" x14ac:dyDescent="0.2"/>
  <cols>
    <col min="1" max="1" width="17.85546875" style="42" customWidth="1"/>
    <col min="2" max="2" width="12.7109375" style="42" customWidth="1"/>
    <col min="3" max="3" width="9.28515625" style="42" customWidth="1"/>
    <col min="4" max="4" width="13.140625" style="42" customWidth="1"/>
    <col min="5" max="5" width="12.85546875" style="42" bestFit="1" customWidth="1"/>
    <col min="6" max="6" width="12.7109375" style="42" customWidth="1"/>
    <col min="7" max="7" width="18.7109375" style="42" bestFit="1" customWidth="1"/>
    <col min="8" max="8" width="14.42578125" style="42" customWidth="1"/>
    <col min="9" max="9" width="3.85546875" style="42" customWidth="1"/>
    <col min="10" max="10" width="18.42578125" style="42" customWidth="1"/>
    <col min="11" max="11" width="9.140625" style="42" customWidth="1"/>
    <col min="12" max="12" width="16.5703125" style="42" customWidth="1"/>
    <col min="13" max="13" width="12.7109375" style="42" customWidth="1"/>
    <col min="14" max="14" width="10.5703125" style="42" customWidth="1"/>
    <col min="15" max="16384" width="9.140625" style="42"/>
  </cols>
  <sheetData>
    <row r="1" spans="1:20" ht="23.25" x14ac:dyDescent="0.35">
      <c r="A1" s="217" t="s">
        <v>52</v>
      </c>
      <c r="B1" s="217"/>
      <c r="C1" s="217"/>
      <c r="D1" s="217"/>
      <c r="E1" s="217"/>
      <c r="F1" s="217"/>
      <c r="G1" s="217"/>
      <c r="H1" s="217"/>
      <c r="I1" s="41"/>
    </row>
    <row r="2" spans="1:20" ht="15.75" x14ac:dyDescent="0.25">
      <c r="A2" s="43" t="s">
        <v>53</v>
      </c>
      <c r="B2" s="44"/>
      <c r="C2" s="45" t="s">
        <v>210</v>
      </c>
      <c r="D2" s="46" t="s">
        <v>54</v>
      </c>
      <c r="E2" s="47"/>
      <c r="F2" s="48"/>
      <c r="G2" s="44"/>
      <c r="H2" s="49"/>
      <c r="I2" s="50"/>
    </row>
    <row r="3" spans="1:20" x14ac:dyDescent="0.2">
      <c r="A3" s="51" t="s">
        <v>55</v>
      </c>
      <c r="B3" s="50"/>
      <c r="C3" s="52" t="s">
        <v>56</v>
      </c>
      <c r="D3" s="53"/>
      <c r="E3" s="50"/>
      <c r="F3" s="54"/>
      <c r="G3" s="50"/>
      <c r="H3" s="55"/>
      <c r="I3" s="50"/>
    </row>
    <row r="4" spans="1:20" x14ac:dyDescent="0.2">
      <c r="A4" s="51" t="s">
        <v>57</v>
      </c>
      <c r="B4" s="50"/>
      <c r="C4" s="56" t="s">
        <v>39</v>
      </c>
      <c r="D4" s="56" t="s">
        <v>42</v>
      </c>
      <c r="E4" s="56" t="s">
        <v>43</v>
      </c>
      <c r="F4" s="56" t="s">
        <v>44</v>
      </c>
      <c r="G4" s="56" t="s">
        <v>45</v>
      </c>
      <c r="H4" s="55"/>
      <c r="I4" s="50"/>
    </row>
    <row r="5" spans="1:20" x14ac:dyDescent="0.2">
      <c r="A5" s="51" t="s">
        <v>58</v>
      </c>
      <c r="B5" s="50"/>
      <c r="C5" s="56" t="s">
        <v>59</v>
      </c>
      <c r="D5" s="56" t="s">
        <v>60</v>
      </c>
      <c r="E5" s="56"/>
      <c r="F5" s="56"/>
      <c r="G5" s="56"/>
      <c r="H5" s="55"/>
      <c r="I5" s="50"/>
    </row>
    <row r="6" spans="1:20" x14ac:dyDescent="0.2">
      <c r="A6" s="51" t="s">
        <v>61</v>
      </c>
      <c r="B6" s="50"/>
      <c r="C6" s="56" t="s">
        <v>62</v>
      </c>
      <c r="D6" s="50" t="s">
        <v>63</v>
      </c>
      <c r="E6" s="50"/>
      <c r="F6" s="50"/>
      <c r="G6" s="50"/>
      <c r="H6" s="55"/>
      <c r="I6" s="50"/>
    </row>
    <row r="7" spans="1:20" x14ac:dyDescent="0.2">
      <c r="A7" s="51"/>
      <c r="B7" s="50"/>
      <c r="C7" s="56" t="s">
        <v>64</v>
      </c>
      <c r="D7" s="50" t="s">
        <v>65</v>
      </c>
      <c r="E7" s="50"/>
      <c r="F7" s="50"/>
      <c r="G7" s="50"/>
      <c r="H7" s="55"/>
      <c r="I7" s="50"/>
    </row>
    <row r="8" spans="1:20" x14ac:dyDescent="0.2">
      <c r="A8" s="51" t="s">
        <v>66</v>
      </c>
      <c r="B8" s="50"/>
      <c r="C8" s="56" t="s">
        <v>235</v>
      </c>
      <c r="D8" s="50" t="s">
        <v>68</v>
      </c>
      <c r="E8" s="50"/>
      <c r="F8" s="50"/>
      <c r="G8" s="50"/>
      <c r="H8" s="55"/>
      <c r="I8" s="50"/>
    </row>
    <row r="9" spans="1:20" x14ac:dyDescent="0.2">
      <c r="A9" s="51" t="s">
        <v>69</v>
      </c>
      <c r="B9" s="50"/>
      <c r="C9" s="57" t="s">
        <v>70</v>
      </c>
      <c r="D9" s="58" t="s">
        <v>71</v>
      </c>
      <c r="E9" s="50"/>
      <c r="F9" s="50"/>
      <c r="G9" s="50"/>
      <c r="H9" s="55"/>
      <c r="I9" s="50"/>
    </row>
    <row r="10" spans="1:20" x14ac:dyDescent="0.2">
      <c r="A10" s="51"/>
      <c r="B10" s="50"/>
      <c r="C10" s="59" t="s">
        <v>72</v>
      </c>
      <c r="D10" s="58" t="s">
        <v>73</v>
      </c>
      <c r="E10" s="50"/>
      <c r="F10" s="50"/>
      <c r="G10" s="50"/>
      <c r="H10" s="55"/>
      <c r="I10" s="50"/>
    </row>
    <row r="11" spans="1:20" ht="15.75" x14ac:dyDescent="0.25">
      <c r="A11" s="60" t="s">
        <v>74</v>
      </c>
      <c r="B11" s="61"/>
      <c r="C11" s="62"/>
      <c r="D11" s="63"/>
      <c r="E11" s="61"/>
      <c r="F11" s="61"/>
      <c r="G11" s="61"/>
      <c r="H11" s="64"/>
      <c r="I11" s="50"/>
    </row>
    <row r="12" spans="1:20" x14ac:dyDescent="0.2">
      <c r="A12" s="50"/>
      <c r="B12" s="50"/>
      <c r="C12" s="56"/>
      <c r="D12" s="50"/>
      <c r="E12" s="50"/>
      <c r="F12" s="50"/>
      <c r="G12" s="50"/>
      <c r="H12" s="50"/>
    </row>
    <row r="13" spans="1:20" ht="15.75" x14ac:dyDescent="0.25">
      <c r="A13" s="218" t="s">
        <v>75</v>
      </c>
      <c r="B13" s="219"/>
      <c r="C13" s="219"/>
      <c r="D13" s="219"/>
      <c r="E13" s="219"/>
      <c r="F13" s="219"/>
      <c r="G13" s="219"/>
      <c r="H13" s="220"/>
      <c r="I13" s="41"/>
      <c r="K13" s="65"/>
      <c r="S13" s="50"/>
      <c r="T13" s="66"/>
    </row>
    <row r="14" spans="1:20" ht="15.75" x14ac:dyDescent="0.25">
      <c r="A14" s="51" t="s">
        <v>76</v>
      </c>
      <c r="B14" s="50"/>
      <c r="C14" s="33" t="s">
        <v>56</v>
      </c>
      <c r="D14" s="50"/>
      <c r="E14" s="50" t="s">
        <v>77</v>
      </c>
      <c r="F14" s="50"/>
      <c r="G14" s="34" t="s">
        <v>62</v>
      </c>
      <c r="H14" s="55"/>
      <c r="S14" s="50"/>
      <c r="T14" s="66"/>
    </row>
    <row r="15" spans="1:20" ht="15.75" x14ac:dyDescent="0.25">
      <c r="A15" s="51"/>
      <c r="B15" s="50"/>
      <c r="C15" s="50"/>
      <c r="D15" s="50"/>
      <c r="E15" s="50"/>
      <c r="F15" s="50"/>
      <c r="G15" s="50"/>
      <c r="H15" s="55"/>
      <c r="S15" s="50"/>
      <c r="T15" s="66"/>
    </row>
    <row r="16" spans="1:20" x14ac:dyDescent="0.2">
      <c r="A16" s="67" t="s">
        <v>78</v>
      </c>
      <c r="B16" s="68"/>
      <c r="C16" s="69"/>
      <c r="D16" s="70" t="s">
        <v>79</v>
      </c>
      <c r="E16" s="71"/>
      <c r="F16" s="50"/>
      <c r="G16" s="221" t="s">
        <v>135</v>
      </c>
      <c r="H16" s="221"/>
      <c r="I16" s="69"/>
      <c r="M16" s="50"/>
      <c r="N16" s="72"/>
      <c r="Q16" s="65"/>
    </row>
    <row r="17" spans="1:13" ht="15.75" x14ac:dyDescent="0.25">
      <c r="A17" s="70" t="s">
        <v>80</v>
      </c>
      <c r="B17" s="35">
        <v>0</v>
      </c>
      <c r="C17" s="50"/>
      <c r="D17" s="73" t="s">
        <v>81</v>
      </c>
      <c r="E17" s="35">
        <v>0.7</v>
      </c>
      <c r="F17" s="50"/>
      <c r="G17" s="74" t="s">
        <v>121</v>
      </c>
      <c r="H17" s="35">
        <v>0.8</v>
      </c>
      <c r="J17" s="211" t="s">
        <v>82</v>
      </c>
      <c r="K17" s="212"/>
      <c r="L17" s="212"/>
      <c r="M17" s="213"/>
    </row>
    <row r="18" spans="1:13" x14ac:dyDescent="0.2">
      <c r="A18" s="70" t="s">
        <v>83</v>
      </c>
      <c r="B18" s="35">
        <v>500</v>
      </c>
      <c r="C18" s="50"/>
      <c r="D18" s="73" t="s">
        <v>84</v>
      </c>
      <c r="E18" s="35">
        <v>0.7</v>
      </c>
      <c r="F18" s="50"/>
      <c r="G18" s="67" t="s">
        <v>136</v>
      </c>
      <c r="H18" s="35">
        <v>2</v>
      </c>
      <c r="J18" s="76" t="s">
        <v>85</v>
      </c>
      <c r="K18" s="77"/>
      <c r="L18" s="77"/>
      <c r="M18" s="78">
        <v>1.5</v>
      </c>
    </row>
    <row r="19" spans="1:13" x14ac:dyDescent="0.2">
      <c r="A19" s="70" t="s">
        <v>86</v>
      </c>
      <c r="B19" s="35">
        <v>300</v>
      </c>
      <c r="C19" s="50"/>
      <c r="D19" s="73" t="s">
        <v>87</v>
      </c>
      <c r="E19" s="35">
        <v>0.7</v>
      </c>
      <c r="F19" s="50"/>
      <c r="G19" s="88" t="s">
        <v>137</v>
      </c>
      <c r="H19" s="35">
        <v>2</v>
      </c>
      <c r="J19" s="76" t="s">
        <v>88</v>
      </c>
      <c r="K19" s="77"/>
      <c r="L19" s="77"/>
      <c r="M19" s="78">
        <v>2</v>
      </c>
    </row>
    <row r="20" spans="1:13" s="81" customFormat="1" x14ac:dyDescent="0.2">
      <c r="A20" s="122" t="s">
        <v>124</v>
      </c>
      <c r="B20" s="35">
        <v>0</v>
      </c>
      <c r="C20" s="79"/>
      <c r="D20" s="121" t="s">
        <v>125</v>
      </c>
      <c r="E20" s="75">
        <v>0.7</v>
      </c>
      <c r="F20" s="79"/>
      <c r="G20" s="62"/>
      <c r="H20" s="80"/>
      <c r="J20" s="82" t="s">
        <v>126</v>
      </c>
      <c r="K20" s="83"/>
      <c r="L20" s="83"/>
      <c r="M20" s="84" t="s">
        <v>89</v>
      </c>
    </row>
    <row r="21" spans="1:13" x14ac:dyDescent="0.2">
      <c r="A21" s="85"/>
      <c r="B21" s="85"/>
      <c r="C21" s="86"/>
    </row>
    <row r="22" spans="1:13" ht="15.75" x14ac:dyDescent="0.25">
      <c r="A22" s="208" t="s">
        <v>90</v>
      </c>
      <c r="B22" s="209"/>
      <c r="C22" s="209"/>
      <c r="D22" s="209"/>
      <c r="E22" s="209"/>
      <c r="F22" s="209"/>
      <c r="G22" s="209"/>
      <c r="H22" s="210"/>
    </row>
    <row r="23" spans="1:13" x14ac:dyDescent="0.2">
      <c r="A23" s="51" t="s">
        <v>91</v>
      </c>
      <c r="B23" s="36" t="s">
        <v>39</v>
      </c>
      <c r="C23" s="50"/>
      <c r="D23" s="50" t="s">
        <v>92</v>
      </c>
      <c r="E23" s="50"/>
      <c r="F23" s="50"/>
      <c r="G23" s="50">
        <f ca="1">IF(G14="Peak",LOOKUP(B23,INDIRECT("'"&amp;C14&amp;"Baseline'!a10:a15"),INDIRECT("'"&amp;C14&amp;"Baseline'!b10:b15")),IF(G14="Average",LOOKUP(B23,INDIRECT("'"&amp;C14&amp;"Baseline'!a10:a15"),INDIRECT("'"&amp;C14&amp;"Baseline'!c10:c15")),0))</f>
        <v>0.20807999999999999</v>
      </c>
      <c r="H23" s="55" t="str">
        <f>G14</f>
        <v>Peak</v>
      </c>
    </row>
    <row r="24" spans="1:13" x14ac:dyDescent="0.2">
      <c r="A24" s="51"/>
      <c r="B24" s="50"/>
      <c r="C24" s="50"/>
      <c r="D24" s="50" t="s">
        <v>93</v>
      </c>
      <c r="E24" s="50"/>
      <c r="F24" s="50"/>
      <c r="G24" s="50">
        <f ca="1">LOOKUP(B23,INDIRECT("'"&amp;C14&amp;"Baseline'!a10:a15"),INDIRECT("'"&amp;C14&amp;"Baseline'!d10:d15"))</f>
        <v>58.2</v>
      </c>
      <c r="H24" s="55"/>
    </row>
    <row r="25" spans="1:13" x14ac:dyDescent="0.2">
      <c r="A25" s="51"/>
      <c r="B25" s="50"/>
      <c r="C25" s="50"/>
      <c r="D25" s="50"/>
      <c r="E25" s="50"/>
      <c r="F25" s="50"/>
      <c r="G25" s="50"/>
      <c r="H25" s="55"/>
      <c r="K25" s="118"/>
    </row>
    <row r="26" spans="1:13" ht="18" x14ac:dyDescent="0.25">
      <c r="A26" s="51"/>
      <c r="B26" s="67" t="s">
        <v>94</v>
      </c>
      <c r="C26" s="87"/>
      <c r="D26" s="88"/>
      <c r="E26" s="37">
        <f ca="1">ROUNDUP(((((ROUNDUP(NUM4T*CON4T,0)+ROUNDUP(NUMWC*CONWC,0))*SDR_ET)*CPU_SCALE)/PEAKCPUMEM),1)</f>
        <v>291.40000000000003</v>
      </c>
      <c r="F26" s="50"/>
      <c r="G26" s="50"/>
      <c r="H26" s="55"/>
    </row>
    <row r="27" spans="1:13" ht="18" x14ac:dyDescent="0.25">
      <c r="A27" s="51"/>
      <c r="B27" s="67" t="s">
        <v>95</v>
      </c>
      <c r="C27" s="87"/>
      <c r="D27" s="88"/>
      <c r="E27" s="89">
        <f ca="1">ROUNDUP((((ROUNDUP(NUM4T*CON4T,0)*MEM_ET)+(ROUNDUP(NUM4T2*CON4T2,0)*MEM_ET)+(ROUNDUP(NUMWC*CONWC,0)*MEM_ET))*MEM_SCALE)/(PEAKCPUMEM*1024),1)</f>
        <v>79.599999999999994</v>
      </c>
      <c r="F27" s="50" t="s">
        <v>96</v>
      </c>
      <c r="G27" s="50"/>
      <c r="H27" s="55"/>
    </row>
    <row r="28" spans="1:13" ht="17.25" customHeight="1" x14ac:dyDescent="0.25">
      <c r="A28" s="60"/>
      <c r="B28" s="61"/>
      <c r="C28" s="61"/>
      <c r="D28" s="61"/>
      <c r="E28" s="61"/>
      <c r="F28" s="90"/>
      <c r="G28" s="61"/>
      <c r="H28" s="38"/>
    </row>
    <row r="29" spans="1:13" x14ac:dyDescent="0.2">
      <c r="A29" s="91"/>
    </row>
    <row r="30" spans="1:13" ht="15.75" x14ac:dyDescent="0.25">
      <c r="A30" s="208" t="s">
        <v>97</v>
      </c>
      <c r="B30" s="209"/>
      <c r="C30" s="209"/>
      <c r="D30" s="209"/>
      <c r="E30" s="209"/>
      <c r="F30" s="209"/>
      <c r="G30" s="209"/>
      <c r="H30" s="210"/>
    </row>
    <row r="31" spans="1:13" x14ac:dyDescent="0.2">
      <c r="A31" s="51" t="s">
        <v>91</v>
      </c>
      <c r="B31" s="36" t="s">
        <v>45</v>
      </c>
      <c r="C31" s="50"/>
      <c r="D31" s="50" t="s">
        <v>92</v>
      </c>
      <c r="E31" s="50"/>
      <c r="F31" s="50"/>
      <c r="G31" s="50">
        <f ca="1">IF(G14="Peak",LOOKUP(B31,INDIRECT("'"&amp;C14&amp;"Baseline'!a10:a14"),INDIRECT("'"&amp;C14&amp;"Baseline'!e10:e14")),IF(G14="Average",LOOKUP(B31,INDIRECT("'"&amp;C14&amp;"Baseline'!a10:a14"),INDIRECT("'"&amp;C14&amp;"Baseline'!f10:f14")),0))</f>
        <v>1.5299999999999999E-2</v>
      </c>
      <c r="H31" s="55" t="str">
        <f>G14</f>
        <v>Peak</v>
      </c>
      <c r="J31" s="42" t="s">
        <v>98</v>
      </c>
      <c r="K31" s="42" t="s">
        <v>99</v>
      </c>
      <c r="L31" s="42" t="s">
        <v>100</v>
      </c>
    </row>
    <row r="32" spans="1:13" x14ac:dyDescent="0.2">
      <c r="A32" s="51" t="s">
        <v>98</v>
      </c>
      <c r="B32" s="36" t="s">
        <v>100</v>
      </c>
      <c r="C32" s="50"/>
      <c r="D32" s="50" t="s">
        <v>101</v>
      </c>
      <c r="E32" s="50"/>
      <c r="F32" s="50"/>
      <c r="G32" s="50">
        <f>IF(B32="32-bit", 1, 2)</f>
        <v>2</v>
      </c>
      <c r="H32" s="55" t="s">
        <v>102</v>
      </c>
      <c r="J32" s="50"/>
    </row>
    <row r="33" spans="1:16" s="81" customFormat="1" x14ac:dyDescent="0.2">
      <c r="A33" s="92"/>
      <c r="B33" s="86"/>
      <c r="C33" s="86"/>
      <c r="D33" s="86"/>
      <c r="E33" s="86"/>
      <c r="F33" s="86"/>
      <c r="G33" s="86"/>
      <c r="H33" s="93"/>
      <c r="J33" s="56"/>
    </row>
    <row r="34" spans="1:16" s="81" customFormat="1" ht="18" x14ac:dyDescent="0.25">
      <c r="A34" s="92"/>
      <c r="B34" s="67" t="s">
        <v>94</v>
      </c>
      <c r="C34" s="87"/>
      <c r="D34" s="88"/>
      <c r="E34" s="37">
        <f ca="1">ROUNDUP(((((ROUNDUP(NUM4T*CON4T,0)+ROUNDUP(NUMWC*CONWC,0))*SDR_WT)*CPU_SCALE)/PEAKCPUMEM),1)</f>
        <v>21.5</v>
      </c>
      <c r="F34" s="42"/>
      <c r="G34" s="86"/>
      <c r="H34" s="93"/>
      <c r="J34" s="56"/>
    </row>
    <row r="35" spans="1:16" ht="18" x14ac:dyDescent="0.25">
      <c r="A35" s="51"/>
      <c r="B35" s="67" t="s">
        <v>95</v>
      </c>
      <c r="C35" s="87"/>
      <c r="D35" s="88"/>
      <c r="E35" s="94">
        <f>ROUNDUP((SUM(NUM4T,NUM4T2,NUMWC)/(PEAKCPUMEM*500)),0)*MEM_WT</f>
        <v>4</v>
      </c>
      <c r="F35" s="50" t="s">
        <v>96</v>
      </c>
      <c r="H35" s="39"/>
      <c r="J35" s="95"/>
    </row>
    <row r="36" spans="1:16" ht="15.75" x14ac:dyDescent="0.25">
      <c r="A36" s="96"/>
      <c r="B36" s="61"/>
      <c r="C36" s="61"/>
      <c r="D36" s="61"/>
      <c r="E36" s="97"/>
      <c r="F36" s="97"/>
      <c r="G36" s="98"/>
      <c r="H36" s="99"/>
      <c r="J36" s="50"/>
    </row>
    <row r="37" spans="1:16" x14ac:dyDescent="0.2">
      <c r="A37" s="91"/>
      <c r="J37" s="50"/>
    </row>
    <row r="38" spans="1:16" ht="15.75" x14ac:dyDescent="0.25">
      <c r="A38" s="208" t="s">
        <v>103</v>
      </c>
      <c r="B38" s="209"/>
      <c r="C38" s="209"/>
      <c r="D38" s="209"/>
      <c r="E38" s="209"/>
      <c r="F38" s="209"/>
      <c r="G38" s="209"/>
      <c r="H38" s="210"/>
      <c r="J38" s="211" t="s">
        <v>129</v>
      </c>
      <c r="K38" s="212"/>
      <c r="L38" s="212"/>
      <c r="M38" s="213"/>
    </row>
    <row r="39" spans="1:16" x14ac:dyDescent="0.2">
      <c r="A39" s="51" t="s">
        <v>91</v>
      </c>
      <c r="B39" s="36" t="s">
        <v>45</v>
      </c>
      <c r="C39" s="50"/>
      <c r="D39" s="50" t="s">
        <v>92</v>
      </c>
      <c r="E39" s="50"/>
      <c r="F39" s="50"/>
      <c r="G39" s="50">
        <f ca="1">IF(B40="Oracle",IF(G14="Peak",LOOKUP(B39,INDIRECT("'"&amp;C14&amp;"Baseline'!a10:a14"),INDIRECT("'"&amp;C14&amp;"Baseline'!h10:h14")),IF(G14="Average",LOOKUP(B39,INDIRECT("'"&amp;C14&amp;"Baseline'!a10:a14"),INDIRECT("'"&amp;C14&amp;"Baseline'!i10:i14")),0)),IF(B40="SQL Server",IF(G14="Peak",LOOKUP(B39,INDIRECT("'"&amp;C14&amp;"Baseline'!a10:a14"),INDIRECT("'"&amp;C14&amp;"Baseline'!k10:k14")),IF(G14="Average",LOOKUP(B39,INDIRECT("'"&amp;C14&amp;"Baseline'!a10:a14"),INDIRECT("'"&amp;C14&amp;"Baseline'!l10:l14")),0)),0))</f>
        <v>3.4160000000000003E-2</v>
      </c>
      <c r="H39" s="55" t="str">
        <f>G14</f>
        <v>Peak</v>
      </c>
      <c r="J39" s="76" t="s">
        <v>51</v>
      </c>
      <c r="K39" s="77" t="s">
        <v>130</v>
      </c>
      <c r="L39" s="77"/>
      <c r="M39" s="78"/>
    </row>
    <row r="40" spans="1:16" ht="15.75" x14ac:dyDescent="0.25">
      <c r="A40" s="51" t="s">
        <v>104</v>
      </c>
      <c r="B40" s="36" t="s">
        <v>59</v>
      </c>
      <c r="C40" s="50"/>
      <c r="D40" s="50" t="s">
        <v>93</v>
      </c>
      <c r="E40" s="50"/>
      <c r="F40" s="50"/>
      <c r="G40" s="50">
        <f ca="1">IF(B40="Oracle",LOOKUP(B39,INDIRECT("'"&amp;C14&amp;"Baseline'!a10:a14"),INDIRECT("'"&amp;C14&amp;"Baseline'!j10:j14")),IF(B40="SQL Server",LOOKUP(B39,INDIRECT("'"&amp;C14&amp;"Baseline'!a10:a14"),INDIRECT("'"&amp;C14&amp;"Baseline'!m10:m14")),0))</f>
        <v>2.7</v>
      </c>
      <c r="H40" s="55"/>
      <c r="J40" s="76" t="s">
        <v>50</v>
      </c>
      <c r="K40" s="77" t="s">
        <v>131</v>
      </c>
      <c r="L40" s="77"/>
      <c r="M40" s="78"/>
      <c r="P40" s="100"/>
    </row>
    <row r="41" spans="1:16" x14ac:dyDescent="0.2">
      <c r="A41" s="51" t="s">
        <v>105</v>
      </c>
      <c r="B41" s="36" t="s">
        <v>50</v>
      </c>
      <c r="C41" s="50"/>
      <c r="D41" s="50" t="s">
        <v>123</v>
      </c>
      <c r="E41" s="50"/>
      <c r="F41" s="50"/>
      <c r="G41" s="50">
        <f ca="1">IF(B40="Oracle",LOOKUP(B41,INDIRECT("'"&amp;C14&amp;"Baseline'!a26:a28"),INDIRECT("'"&amp;C14&amp;"Baseline'!b26:b28")),IF(B40="SQL Server",LOOKUP(B41,INDIRECT("'"&amp;C14&amp;"Baseline'!a26:a28"),INDIRECT("'"&amp;C14&amp;"Baseline'!c26:c28")),0))</f>
        <v>16</v>
      </c>
      <c r="H41" s="55" t="s">
        <v>102</v>
      </c>
      <c r="J41" s="82" t="s">
        <v>49</v>
      </c>
      <c r="K41" s="83" t="s">
        <v>132</v>
      </c>
      <c r="L41" s="83"/>
      <c r="M41" s="101"/>
    </row>
    <row r="42" spans="1:16" x14ac:dyDescent="0.2">
      <c r="A42" s="51"/>
      <c r="B42" s="50"/>
      <c r="C42" s="50"/>
      <c r="D42" s="50"/>
      <c r="E42" s="50"/>
      <c r="F42" s="50"/>
      <c r="G42" s="50"/>
      <c r="H42" s="55"/>
      <c r="K42" s="50"/>
    </row>
    <row r="43" spans="1:16" ht="18" x14ac:dyDescent="0.25">
      <c r="A43" s="51"/>
      <c r="B43" s="67" t="s">
        <v>94</v>
      </c>
      <c r="C43" s="87"/>
      <c r="D43" s="88"/>
      <c r="E43" s="40">
        <f ca="1">ROUNDUP(((((ROUNDUP(NUM4T*CON4T,0)+ROUNDUP(NUM2T*CON2T,0)+ROUNDUP(NUMWC*CONWC,0))*SDR_DT)*CPU_SCALE)/PEAKCPUMEM),1)</f>
        <v>47.9</v>
      </c>
      <c r="F43" s="50"/>
      <c r="G43" s="102"/>
      <c r="H43" s="39"/>
      <c r="K43" s="102"/>
    </row>
    <row r="44" spans="1:16" ht="18" x14ac:dyDescent="0.25">
      <c r="A44" s="51"/>
      <c r="B44" s="67" t="s">
        <v>95</v>
      </c>
      <c r="C44" s="87"/>
      <c r="D44" s="88"/>
      <c r="E44" s="94">
        <f ca="1">ROUNDUP((((ROUNDUP(NUM2T*CON2T,0)+ROUNDUP(NUM4T*CON4T,0)+ROUNDUP(NUM4T2*CON4T2,0)+ROUNDUP(NUMWC*CONWC,0))*MEM_DT*MEM_SCALE)/(PEAKCPUMEM*1024))+(1.2*MEM_SGA),1)</f>
        <v>22.900000000000002</v>
      </c>
      <c r="F44" s="50" t="s">
        <v>96</v>
      </c>
      <c r="G44" s="50"/>
      <c r="H44" s="103"/>
    </row>
    <row r="45" spans="1:16" ht="15.75" x14ac:dyDescent="0.25">
      <c r="A45" s="120" t="s">
        <v>127</v>
      </c>
      <c r="B45" s="90"/>
      <c r="C45" s="98"/>
      <c r="D45" s="97"/>
      <c r="E45" s="97"/>
      <c r="F45" s="97"/>
      <c r="G45" s="98"/>
      <c r="H45" s="99"/>
    </row>
    <row r="46" spans="1:16" ht="15.75" x14ac:dyDescent="0.25">
      <c r="A46" s="105"/>
      <c r="B46" s="85"/>
      <c r="C46" s="102"/>
      <c r="D46" s="106"/>
      <c r="E46" s="106"/>
      <c r="F46" s="106"/>
      <c r="G46" s="102"/>
      <c r="H46" s="106"/>
    </row>
    <row r="47" spans="1:16" ht="15.75" x14ac:dyDescent="0.25">
      <c r="A47" s="208" t="s">
        <v>106</v>
      </c>
      <c r="B47" s="209"/>
      <c r="C47" s="209"/>
      <c r="D47" s="209"/>
      <c r="E47" s="209"/>
      <c r="F47" s="209"/>
      <c r="G47" s="209"/>
      <c r="H47" s="210"/>
      <c r="L47" s="42" t="s">
        <v>107</v>
      </c>
    </row>
    <row r="48" spans="1:16" ht="15.75" x14ac:dyDescent="0.25">
      <c r="A48" s="51" t="s">
        <v>91</v>
      </c>
      <c r="B48" s="36" t="s">
        <v>45</v>
      </c>
      <c r="C48" s="86"/>
      <c r="D48" s="50" t="s">
        <v>108</v>
      </c>
      <c r="E48" s="50"/>
      <c r="F48" s="50"/>
      <c r="G48" s="50">
        <v>27.4</v>
      </c>
      <c r="H48" s="93"/>
      <c r="J48" s="211" t="s">
        <v>109</v>
      </c>
      <c r="K48" s="212"/>
      <c r="L48" s="212"/>
      <c r="M48" s="213"/>
    </row>
    <row r="49" spans="1:13" x14ac:dyDescent="0.2">
      <c r="A49" s="51"/>
      <c r="B49" s="50"/>
      <c r="C49" s="50"/>
      <c r="D49" s="50" t="s">
        <v>110</v>
      </c>
      <c r="E49" s="69"/>
      <c r="F49" s="69"/>
      <c r="G49" s="50">
        <v>4</v>
      </c>
      <c r="H49" s="55" t="s">
        <v>102</v>
      </c>
      <c r="J49" s="76" t="s">
        <v>111</v>
      </c>
      <c r="K49" s="107">
        <v>250000</v>
      </c>
      <c r="L49" s="77"/>
      <c r="M49" s="78"/>
    </row>
    <row r="50" spans="1:13" x14ac:dyDescent="0.2">
      <c r="A50" s="51"/>
      <c r="B50" s="50"/>
      <c r="C50" s="50"/>
      <c r="D50" s="50" t="s">
        <v>112</v>
      </c>
      <c r="E50" s="69"/>
      <c r="F50" s="69"/>
      <c r="G50" s="36">
        <v>2</v>
      </c>
      <c r="H50" s="55"/>
      <c r="J50" s="76" t="s">
        <v>113</v>
      </c>
      <c r="K50" s="77">
        <v>50000</v>
      </c>
      <c r="L50" s="77"/>
      <c r="M50" s="78"/>
    </row>
    <row r="51" spans="1:13" ht="18" x14ac:dyDescent="0.25">
      <c r="A51" s="108"/>
      <c r="B51" s="67" t="s">
        <v>94</v>
      </c>
      <c r="C51" s="87"/>
      <c r="D51" s="88"/>
      <c r="E51" s="37">
        <f>ROUNDUP((SDR_FT*FMS_SCALE)/PEAKCPUMEM,0)</f>
        <v>69</v>
      </c>
      <c r="G51" s="50"/>
      <c r="H51" s="55"/>
      <c r="J51" s="82" t="s">
        <v>114</v>
      </c>
      <c r="K51" s="83">
        <v>50000</v>
      </c>
      <c r="L51" s="83"/>
      <c r="M51" s="101"/>
    </row>
    <row r="52" spans="1:13" ht="18" x14ac:dyDescent="0.25">
      <c r="A52" s="108"/>
      <c r="B52" s="67" t="s">
        <v>115</v>
      </c>
      <c r="C52" s="87"/>
      <c r="D52" s="88"/>
      <c r="E52" s="89">
        <f>(MEM_FT*FMS_SCALE)</f>
        <v>8</v>
      </c>
      <c r="F52" s="50" t="s">
        <v>96</v>
      </c>
      <c r="G52" s="50"/>
      <c r="H52" s="55"/>
      <c r="K52" s="50"/>
    </row>
    <row r="53" spans="1:13" ht="15.75" x14ac:dyDescent="0.25">
      <c r="A53" s="104"/>
      <c r="B53" s="109"/>
      <c r="C53" s="90"/>
      <c r="D53" s="61"/>
      <c r="E53" s="110"/>
      <c r="F53" s="97"/>
      <c r="G53" s="61"/>
      <c r="H53" s="64"/>
      <c r="K53" s="50"/>
    </row>
    <row r="54" spans="1:13" ht="15.75" x14ac:dyDescent="0.25">
      <c r="A54" s="91"/>
      <c r="B54" s="91"/>
      <c r="C54" s="111"/>
      <c r="D54" s="112"/>
      <c r="F54" s="41"/>
      <c r="K54" s="50"/>
    </row>
    <row r="55" spans="1:13" x14ac:dyDescent="0.2">
      <c r="A55" s="91" t="s">
        <v>116</v>
      </c>
      <c r="B55" s="214" t="s">
        <v>117</v>
      </c>
      <c r="C55" s="215"/>
      <c r="D55" s="215"/>
      <c r="E55" s="215"/>
      <c r="F55" s="215"/>
      <c r="G55" s="215"/>
      <c r="H55" s="216"/>
      <c r="K55" s="50"/>
    </row>
    <row r="56" spans="1:13" x14ac:dyDescent="0.2">
      <c r="A56" s="91" t="s">
        <v>118</v>
      </c>
      <c r="B56" s="214"/>
      <c r="C56" s="215"/>
      <c r="D56" s="216"/>
      <c r="E56" s="113"/>
      <c r="F56" s="114" t="s">
        <v>119</v>
      </c>
      <c r="G56" s="206"/>
      <c r="H56" s="207"/>
      <c r="K56" s="50"/>
    </row>
    <row r="57" spans="1:13" x14ac:dyDescent="0.2">
      <c r="A57" s="115" t="s">
        <v>120</v>
      </c>
      <c r="B57" s="203"/>
      <c r="C57" s="204"/>
      <c r="D57" s="205"/>
      <c r="E57" s="116"/>
      <c r="F57" s="117" t="s">
        <v>119</v>
      </c>
      <c r="G57" s="206"/>
      <c r="H57" s="207"/>
    </row>
  </sheetData>
  <mergeCells count="15">
    <mergeCell ref="A30:H30"/>
    <mergeCell ref="A1:H1"/>
    <mergeCell ref="A13:H13"/>
    <mergeCell ref="G16:H16"/>
    <mergeCell ref="J17:M17"/>
    <mergeCell ref="A22:H22"/>
    <mergeCell ref="B57:D57"/>
    <mergeCell ref="G57:H57"/>
    <mergeCell ref="A38:H38"/>
    <mergeCell ref="J38:M38"/>
    <mergeCell ref="A47:H47"/>
    <mergeCell ref="J48:M48"/>
    <mergeCell ref="B55:H55"/>
    <mergeCell ref="B56:D56"/>
    <mergeCell ref="G56:H56"/>
  </mergeCells>
  <phoneticPr fontId="23" type="noConversion"/>
  <dataValidations count="8">
    <dataValidation type="list" allowBlank="1" showInputMessage="1" showErrorMessage="1" sqref="B32">
      <formula1>$K$31:$L$31</formula1>
    </dataValidation>
    <dataValidation type="list" allowBlank="1" showInputMessage="1" showErrorMessage="1" sqref="N25">
      <formula1>$S$13:$S$15</formula1>
    </dataValidation>
    <dataValidation type="list" allowBlank="1" showInputMessage="1" showErrorMessage="1" sqref="B40">
      <formula1>$C$5:$D$5</formula1>
    </dataValidation>
    <dataValidation type="list" allowBlank="1" showInputMessage="1" showErrorMessage="1" sqref="C14">
      <formula1>$C$3:$E$3</formula1>
    </dataValidation>
    <dataValidation type="list" allowBlank="1" showInputMessage="1" showErrorMessage="1" sqref="G14">
      <formula1>$C$6:$C$7</formula1>
    </dataValidation>
    <dataValidation type="list" allowBlank="1" showInputMessage="1" showErrorMessage="1" sqref="B41">
      <formula1>$J$39:$J$41</formula1>
    </dataValidation>
    <dataValidation type="list" allowBlank="1" showInputMessage="1" showErrorMessage="1" sqref="B39 B31">
      <formula1>$C$4:$G$4</formula1>
    </dataValidation>
    <dataValidation type="list" allowBlank="1" showInputMessage="1" showErrorMessage="1" sqref="B23">
      <formula1>$C$4:$G$4</formula1>
    </dataValidation>
  </dataValidations>
  <hyperlinks>
    <hyperlink ref="E26" r:id="rId1" display="http://www.spec.org/cgi-bin/osgresults?conf=rint2006"/>
    <hyperlink ref="E34" r:id="rId2" display="http://www.spec.org/cgi-bin/osgresults?conf=rint2006"/>
    <hyperlink ref="E43" r:id="rId3" display="http://www.spec.org/cgi-bin/osgresults?conf=rint2006"/>
    <hyperlink ref="E51" r:id="rId4" display="http://www.spec.org/cgi-bin/osgresults?conf=rint2006"/>
  </hyperlinks>
  <printOptions horizontalCentered="1" verticalCentered="1"/>
  <pageMargins left="0.2" right="0.2" top="0.25" bottom="0.25" header="0.05" footer="0.05"/>
  <pageSetup scale="85" orientation="portrait"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3"/>
  <sheetViews>
    <sheetView topLeftCell="A10" zoomScaleNormal="100" workbookViewId="0">
      <selection activeCell="H32" sqref="H32"/>
    </sheetView>
  </sheetViews>
  <sheetFormatPr defaultColWidth="9.140625" defaultRowHeight="15" x14ac:dyDescent="0.2"/>
  <cols>
    <col min="1" max="1" width="33.5703125" style="42" customWidth="1"/>
    <col min="2" max="2" width="16.140625" style="42" customWidth="1"/>
    <col min="3" max="3" width="17" style="42" customWidth="1"/>
    <col min="4" max="4" width="16.5703125" style="42" customWidth="1"/>
    <col min="5" max="5" width="17.140625" style="42" customWidth="1"/>
    <col min="6" max="6" width="20.28515625" style="42" customWidth="1"/>
    <col min="7" max="7" width="18.7109375" style="42" bestFit="1" customWidth="1"/>
    <col min="8" max="8" width="16.7109375" style="42" customWidth="1"/>
    <col min="9" max="9" width="3.85546875" style="42" customWidth="1"/>
    <col min="10" max="10" width="18.42578125" style="42" customWidth="1"/>
    <col min="11" max="11" width="9.140625" style="42" customWidth="1"/>
    <col min="12" max="12" width="16.5703125" style="42" customWidth="1"/>
    <col min="13" max="13" width="13.28515625" style="42" customWidth="1"/>
    <col min="14" max="14" width="10.5703125" style="42" customWidth="1"/>
    <col min="15" max="16384" width="9.140625" style="42"/>
  </cols>
  <sheetData>
    <row r="1" spans="1:20" ht="23.25" x14ac:dyDescent="0.35">
      <c r="A1" s="217" t="s">
        <v>52</v>
      </c>
      <c r="B1" s="217"/>
      <c r="C1" s="217"/>
      <c r="D1" s="217"/>
      <c r="E1" s="217"/>
      <c r="F1" s="217"/>
      <c r="G1" s="217"/>
      <c r="H1" s="217"/>
      <c r="I1" s="41"/>
    </row>
    <row r="2" spans="1:20" ht="15.75" x14ac:dyDescent="0.25">
      <c r="A2" s="43" t="s">
        <v>53</v>
      </c>
      <c r="B2" s="44"/>
      <c r="C2" s="45" t="s">
        <v>210</v>
      </c>
      <c r="D2" s="46" t="s">
        <v>54</v>
      </c>
      <c r="E2" s="47"/>
      <c r="F2" s="48"/>
      <c r="G2" s="44"/>
      <c r="H2" s="49"/>
      <c r="I2" s="50"/>
    </row>
    <row r="3" spans="1:20" x14ac:dyDescent="0.2">
      <c r="A3" s="51" t="s">
        <v>55</v>
      </c>
      <c r="B3" s="50"/>
      <c r="C3" s="52" t="s">
        <v>186</v>
      </c>
      <c r="D3" s="52" t="s">
        <v>167</v>
      </c>
      <c r="E3" s="50"/>
      <c r="F3" s="54"/>
      <c r="G3" s="50"/>
      <c r="H3" s="55"/>
      <c r="I3" s="50"/>
    </row>
    <row r="4" spans="1:20" x14ac:dyDescent="0.2">
      <c r="A4" s="51" t="s">
        <v>238</v>
      </c>
      <c r="B4" s="50"/>
      <c r="C4" s="56" t="s">
        <v>158</v>
      </c>
      <c r="D4" s="56" t="s">
        <v>233</v>
      </c>
      <c r="E4" s="56" t="s">
        <v>159</v>
      </c>
      <c r="F4" s="56" t="s">
        <v>160</v>
      </c>
      <c r="G4" s="56" t="s">
        <v>161</v>
      </c>
      <c r="H4" s="56" t="s">
        <v>237</v>
      </c>
      <c r="I4" s="50"/>
    </row>
    <row r="5" spans="1:20" x14ac:dyDescent="0.2">
      <c r="A5" s="51" t="s">
        <v>58</v>
      </c>
      <c r="B5" s="50"/>
      <c r="C5" s="56" t="s">
        <v>172</v>
      </c>
      <c r="D5" s="56" t="s">
        <v>179</v>
      </c>
      <c r="E5" s="56" t="s">
        <v>60</v>
      </c>
      <c r="F5" s="56"/>
      <c r="G5" s="56"/>
      <c r="H5" s="55"/>
      <c r="I5" s="50"/>
    </row>
    <row r="6" spans="1:20" x14ac:dyDescent="0.2">
      <c r="A6" s="51" t="s">
        <v>98</v>
      </c>
      <c r="B6" s="50"/>
      <c r="C6" s="50" t="s">
        <v>176</v>
      </c>
      <c r="D6" s="50" t="s">
        <v>175</v>
      </c>
      <c r="E6" s="50" t="s">
        <v>174</v>
      </c>
      <c r="F6" s="50" t="s">
        <v>173</v>
      </c>
      <c r="G6" s="56"/>
      <c r="H6" s="55"/>
      <c r="I6" s="50"/>
    </row>
    <row r="7" spans="1:20" x14ac:dyDescent="0.2">
      <c r="A7" s="51" t="s">
        <v>61</v>
      </c>
      <c r="B7" s="50"/>
      <c r="C7" s="56" t="s">
        <v>62</v>
      </c>
      <c r="D7" s="50" t="s">
        <v>63</v>
      </c>
      <c r="E7" s="50"/>
      <c r="F7" s="50"/>
      <c r="G7" s="50"/>
      <c r="H7" s="55"/>
      <c r="I7" s="50"/>
    </row>
    <row r="8" spans="1:20" x14ac:dyDescent="0.2">
      <c r="A8" s="51"/>
      <c r="B8" s="50"/>
      <c r="C8" s="56" t="s">
        <v>64</v>
      </c>
      <c r="D8" s="50" t="s">
        <v>65</v>
      </c>
      <c r="E8" s="50"/>
      <c r="F8" s="50"/>
      <c r="G8" s="50"/>
      <c r="H8" s="55"/>
      <c r="I8" s="50"/>
    </row>
    <row r="9" spans="1:20" x14ac:dyDescent="0.2">
      <c r="A9" s="51" t="s">
        <v>66</v>
      </c>
      <c r="B9" s="50"/>
      <c r="C9" s="56" t="s">
        <v>67</v>
      </c>
      <c r="D9" s="50" t="s">
        <v>236</v>
      </c>
      <c r="E9" s="50"/>
      <c r="F9" s="50"/>
      <c r="G9" s="50"/>
      <c r="H9" s="55"/>
      <c r="I9" s="50"/>
    </row>
    <row r="10" spans="1:20" x14ac:dyDescent="0.2">
      <c r="A10" s="51" t="s">
        <v>69</v>
      </c>
      <c r="B10" s="50"/>
      <c r="C10" s="57" t="s">
        <v>70</v>
      </c>
      <c r="D10" s="58" t="s">
        <v>71</v>
      </c>
      <c r="E10" s="50"/>
      <c r="F10" s="50"/>
      <c r="G10" s="50"/>
      <c r="H10" s="55"/>
      <c r="I10" s="50"/>
    </row>
    <row r="11" spans="1:20" x14ac:dyDescent="0.2">
      <c r="A11" s="51"/>
      <c r="B11" s="50"/>
      <c r="C11" s="59" t="s">
        <v>72</v>
      </c>
      <c r="D11" s="58" t="s">
        <v>73</v>
      </c>
      <c r="E11" s="50"/>
      <c r="F11" s="50"/>
      <c r="G11" s="50"/>
      <c r="H11" s="55"/>
      <c r="I11" s="50"/>
    </row>
    <row r="12" spans="1:20" ht="15.75" x14ac:dyDescent="0.25">
      <c r="A12" s="60" t="s">
        <v>74</v>
      </c>
      <c r="B12" s="61"/>
      <c r="C12" s="62"/>
      <c r="D12" s="63"/>
      <c r="E12" s="61"/>
      <c r="F12" s="61"/>
      <c r="G12" s="61"/>
      <c r="H12" s="64"/>
      <c r="I12" s="50"/>
      <c r="L12" s="161"/>
    </row>
    <row r="13" spans="1:20" x14ac:dyDescent="0.2">
      <c r="A13" s="50"/>
      <c r="B13" s="50"/>
      <c r="C13" s="56"/>
      <c r="D13" s="50"/>
      <c r="E13" s="50"/>
      <c r="F13" s="50"/>
      <c r="G13" s="50"/>
      <c r="H13" s="50"/>
    </row>
    <row r="14" spans="1:20" ht="15.75" x14ac:dyDescent="0.25">
      <c r="A14" s="218" t="s">
        <v>75</v>
      </c>
      <c r="B14" s="219"/>
      <c r="C14" s="219"/>
      <c r="D14" s="219"/>
      <c r="E14" s="219"/>
      <c r="F14" s="219"/>
      <c r="G14" s="219"/>
      <c r="H14" s="220"/>
      <c r="I14" s="41"/>
      <c r="K14" s="65"/>
      <c r="S14" s="50"/>
      <c r="T14" s="66"/>
    </row>
    <row r="15" spans="1:20" ht="15.75" x14ac:dyDescent="0.25">
      <c r="A15" s="51" t="s">
        <v>76</v>
      </c>
      <c r="B15" s="50"/>
      <c r="C15" s="33" t="s">
        <v>167</v>
      </c>
      <c r="D15" s="50"/>
      <c r="E15" s="50"/>
      <c r="F15" s="50" t="s">
        <v>77</v>
      </c>
      <c r="G15" s="34" t="s">
        <v>234</v>
      </c>
      <c r="H15" s="55"/>
      <c r="S15" s="50"/>
      <c r="T15" s="66"/>
    </row>
    <row r="16" spans="1:20" ht="15.75" x14ac:dyDescent="0.25">
      <c r="A16" s="51"/>
      <c r="B16" s="50"/>
      <c r="C16" s="50"/>
      <c r="D16" s="50"/>
      <c r="E16" s="50"/>
      <c r="F16" s="50"/>
      <c r="G16" s="50"/>
      <c r="H16" s="55"/>
      <c r="S16" s="50"/>
      <c r="T16" s="66"/>
    </row>
    <row r="17" spans="1:17" x14ac:dyDescent="0.2">
      <c r="A17" s="67" t="s">
        <v>78</v>
      </c>
      <c r="B17" s="131"/>
      <c r="C17" s="69"/>
      <c r="D17" s="70" t="s">
        <v>79</v>
      </c>
      <c r="E17" s="71"/>
      <c r="F17" s="50"/>
      <c r="G17" s="221" t="s">
        <v>135</v>
      </c>
      <c r="H17" s="221"/>
      <c r="I17" s="69"/>
      <c r="M17" s="50"/>
      <c r="N17" s="72"/>
      <c r="Q17" s="65"/>
    </row>
    <row r="18" spans="1:17" ht="15.75" x14ac:dyDescent="0.25">
      <c r="A18" s="70" t="s">
        <v>80</v>
      </c>
      <c r="B18" s="35">
        <v>0</v>
      </c>
      <c r="C18" s="50"/>
      <c r="D18" s="73" t="s">
        <v>81</v>
      </c>
      <c r="E18" s="35">
        <v>0.7</v>
      </c>
      <c r="F18" s="50"/>
      <c r="G18" s="74" t="s">
        <v>121</v>
      </c>
      <c r="H18" s="69">
        <v>0.7</v>
      </c>
      <c r="J18" s="211" t="s">
        <v>82</v>
      </c>
      <c r="K18" s="212"/>
      <c r="L18" s="212"/>
      <c r="M18" s="213"/>
    </row>
    <row r="19" spans="1:17" x14ac:dyDescent="0.2">
      <c r="A19" s="70" t="s">
        <v>83</v>
      </c>
      <c r="B19" s="35">
        <v>1200</v>
      </c>
      <c r="C19" s="50"/>
      <c r="D19" s="73" t="s">
        <v>84</v>
      </c>
      <c r="E19" s="35">
        <v>0.7</v>
      </c>
      <c r="F19" s="50"/>
      <c r="G19" s="67" t="s">
        <v>136</v>
      </c>
      <c r="H19" s="35">
        <v>3</v>
      </c>
      <c r="J19" s="76" t="s">
        <v>85</v>
      </c>
      <c r="K19" s="77"/>
      <c r="L19" s="77"/>
      <c r="M19" s="78">
        <v>1.5</v>
      </c>
    </row>
    <row r="20" spans="1:17" x14ac:dyDescent="0.2">
      <c r="A20" s="70" t="s">
        <v>86</v>
      </c>
      <c r="B20" s="35">
        <v>0</v>
      </c>
      <c r="C20" s="50"/>
      <c r="D20" s="73" t="s">
        <v>87</v>
      </c>
      <c r="E20" s="35">
        <v>0.7</v>
      </c>
      <c r="F20" s="50"/>
      <c r="G20" s="88" t="s">
        <v>137</v>
      </c>
      <c r="H20" s="35">
        <v>2</v>
      </c>
      <c r="J20" s="76" t="s">
        <v>88</v>
      </c>
      <c r="K20" s="77"/>
      <c r="L20" s="77"/>
      <c r="M20" s="78">
        <v>2</v>
      </c>
    </row>
    <row r="21" spans="1:17" s="81" customFormat="1" x14ac:dyDescent="0.2">
      <c r="A21" s="122" t="s">
        <v>124</v>
      </c>
      <c r="B21" s="35">
        <v>0</v>
      </c>
      <c r="C21" s="79"/>
      <c r="D21" s="121" t="s">
        <v>125</v>
      </c>
      <c r="E21" s="75">
        <v>0</v>
      </c>
      <c r="F21" s="79"/>
      <c r="G21" s="62"/>
      <c r="H21" s="80"/>
      <c r="J21" s="82" t="s">
        <v>126</v>
      </c>
      <c r="K21" s="83"/>
      <c r="L21" s="83"/>
      <c r="M21" s="84" t="s">
        <v>89</v>
      </c>
    </row>
    <row r="22" spans="1:17" x14ac:dyDescent="0.2">
      <c r="A22" s="85"/>
      <c r="B22" s="85"/>
      <c r="C22" s="86"/>
    </row>
    <row r="23" spans="1:17" ht="15.75" x14ac:dyDescent="0.25">
      <c r="A23" s="208" t="s">
        <v>90</v>
      </c>
      <c r="B23" s="209"/>
      <c r="C23" s="209"/>
      <c r="D23" s="209"/>
      <c r="E23" s="209"/>
      <c r="F23" s="209"/>
      <c r="G23" s="209"/>
      <c r="H23" s="210"/>
    </row>
    <row r="24" spans="1:17" x14ac:dyDescent="0.2">
      <c r="A24" s="51" t="s">
        <v>91</v>
      </c>
      <c r="B24" s="36" t="s">
        <v>161</v>
      </c>
      <c r="C24" s="50"/>
      <c r="D24" s="50" t="s">
        <v>169</v>
      </c>
      <c r="E24" s="50"/>
      <c r="F24" s="50"/>
      <c r="G24" s="105">
        <f ca="1">IF(G15="Peak",LOOKUP(B24,INDIRECT("'"&amp;C15&amp;"Baseline'!b13:b18"),INDIRECT("'"&amp;C15&amp;"Baseline'!c13:c18")),IF(G15="Average",LOOKUP(B24,INDIRECT("'"&amp;C15&amp;"Baseline'!b13:b18"),INDIRECT("'"&amp;C15&amp;"Baseline'!d13:d18")),0))</f>
        <v>0.126</v>
      </c>
      <c r="H24" s="55" t="str">
        <f>G15</f>
        <v>Peak</v>
      </c>
    </row>
    <row r="25" spans="1:17" x14ac:dyDescent="0.2">
      <c r="A25" s="51"/>
      <c r="B25" s="142"/>
      <c r="C25" s="143"/>
      <c r="D25" s="50" t="s">
        <v>168</v>
      </c>
      <c r="E25" s="50"/>
      <c r="F25" s="50"/>
      <c r="G25" s="105">
        <f ca="1">IF(G15="Peak",LOOKUP(B24,INDIRECT("'"&amp;C15&amp;"Baseline'!b13:b18"),INDIRECT("'"&amp;C15&amp;"Baseline'!G13:G18")),IF(G15="Average",LOOKUP(B24,INDIRECT("'"&amp;C15&amp;"Baseline'!b13:b18"),INDIRECT("'"&amp;C15&amp;"Baseline'!H13:H18")),0))</f>
        <v>7.1999999999999995E-2</v>
      </c>
      <c r="H25" s="55" t="str">
        <f>G15</f>
        <v>Peak</v>
      </c>
    </row>
    <row r="26" spans="1:17" x14ac:dyDescent="0.2">
      <c r="A26" s="51"/>
      <c r="B26" s="50"/>
      <c r="C26" s="50"/>
      <c r="D26" s="50" t="s">
        <v>171</v>
      </c>
      <c r="E26" s="50"/>
      <c r="F26" s="50"/>
      <c r="G26" s="105">
        <f ca="1">LOOKUP(B24,INDIRECT("'"&amp;C15&amp;"Baseline'!b13:b18"),INDIRECT("'"&amp;C15&amp;"Baseline'!e13:e18"))</f>
        <v>55.3</v>
      </c>
      <c r="H26" s="55"/>
    </row>
    <row r="27" spans="1:17" ht="16.5" customHeight="1" x14ac:dyDescent="0.2">
      <c r="A27" s="51"/>
      <c r="B27" s="50"/>
      <c r="C27" s="50"/>
      <c r="D27" s="50" t="s">
        <v>170</v>
      </c>
      <c r="E27" s="50"/>
      <c r="F27" s="50"/>
      <c r="G27" s="105">
        <f ca="1">LOOKUP(B24,INDIRECT("'"&amp;C15&amp;"Baseline'!b13:b18"),INDIRECT("'"&amp;C15&amp;"Baseline'!i13:i18"))</f>
        <v>68.400000000000006</v>
      </c>
      <c r="H27" s="55"/>
      <c r="J27" s="146"/>
    </row>
    <row r="28" spans="1:17" x14ac:dyDescent="0.2">
      <c r="A28" s="51"/>
      <c r="B28" s="50"/>
      <c r="C28" s="50"/>
      <c r="D28" s="50"/>
      <c r="E28" s="50"/>
      <c r="F28" s="50"/>
      <c r="G28" s="50"/>
      <c r="H28" s="55"/>
      <c r="K28" s="118"/>
    </row>
    <row r="29" spans="1:17" ht="18" x14ac:dyDescent="0.25">
      <c r="A29" s="51"/>
      <c r="C29" s="67" t="s">
        <v>94</v>
      </c>
      <c r="D29" s="88"/>
      <c r="E29" s="37">
        <f ca="1">ROUNDUP((((ROUNDUP(NUM4T*CON4T,0)*SDR_ET_RAC+ROUNDUP(NUMWC*CONWC,0)*SDR_ET_Thin)*CPU_SCALE)/PEAKCPUMEM),1)</f>
        <v>259.2</v>
      </c>
      <c r="F29" s="50"/>
      <c r="G29" s="50"/>
      <c r="H29" s="55"/>
    </row>
    <row r="30" spans="1:17" ht="18" x14ac:dyDescent="0.25">
      <c r="A30" s="51"/>
      <c r="C30" s="67" t="s">
        <v>95</v>
      </c>
      <c r="D30" s="88"/>
      <c r="E30" s="89">
        <f ca="1">ROUNDUP((((ROUNDUP(NUM4T*CON4T,0)*MEM_ET_RAC)+(ROUNDUP(NUM4T2*CON4T2,0)*MEM_ET_RAC)+(ROUNDUP(NUMWC*CONWC,0)*MEM_ET_Thin))*MEM_SCALE)/(PEAKCPUMEM*1024),1)</f>
        <v>160.4</v>
      </c>
      <c r="F30" s="50" t="s">
        <v>96</v>
      </c>
      <c r="G30" s="50"/>
      <c r="H30" s="55"/>
    </row>
    <row r="31" spans="1:17" ht="23.25" customHeight="1" x14ac:dyDescent="0.25">
      <c r="A31" s="60" t="str">
        <f>IF(ISNUMBER(FIND("AIX", B24,1)),"For AIX, effective memory requirement with AME Expansion Factor = 2.0x. If customer cannot use AME, please have a minimum 2X expanation on the basis of calculation result.","")</f>
        <v/>
      </c>
      <c r="B31" s="61"/>
      <c r="C31" s="61"/>
      <c r="D31" s="61"/>
      <c r="E31" s="61"/>
      <c r="F31" s="90"/>
      <c r="G31" s="61"/>
      <c r="H31" s="38"/>
    </row>
    <row r="32" spans="1:17" x14ac:dyDescent="0.2">
      <c r="A32" s="91"/>
    </row>
    <row r="33" spans="1:16" ht="15.75" x14ac:dyDescent="0.25">
      <c r="A33" s="208" t="s">
        <v>97</v>
      </c>
      <c r="B33" s="209"/>
      <c r="C33" s="209"/>
      <c r="D33" s="209"/>
      <c r="E33" s="209"/>
      <c r="F33" s="209"/>
      <c r="G33" s="209"/>
      <c r="H33" s="210"/>
    </row>
    <row r="34" spans="1:16" x14ac:dyDescent="0.2">
      <c r="A34" s="51" t="s">
        <v>178</v>
      </c>
      <c r="B34" s="36" t="s">
        <v>175</v>
      </c>
      <c r="C34" s="50"/>
      <c r="D34" s="50" t="s">
        <v>92</v>
      </c>
      <c r="E34" s="50"/>
      <c r="F34" s="50"/>
      <c r="G34" s="105">
        <f ca="1">IF(G15="Peak",LOOKUP(B34,INDIRECT("'"&amp;C15&amp;"Baseline'!b6:b9"),INDIRECT("'"&amp;C15&amp;"Baseline'!c6:c9")),IF(G15="Average",LOOKUP(B34,INDIRECT("'"&amp;C15&amp;"Baseline'!b6:b9"),INDIRECT("'"&amp;C15&amp;"Baseline'!d6:d9")),0))</f>
        <v>4.1000000000000003E-3</v>
      </c>
      <c r="H34" s="55" t="str">
        <f>G15</f>
        <v>Peak</v>
      </c>
    </row>
    <row r="35" spans="1:16" x14ac:dyDescent="0.2">
      <c r="A35" s="51" t="s">
        <v>177</v>
      </c>
      <c r="B35" s="142" t="s">
        <v>100</v>
      </c>
      <c r="C35" s="50"/>
      <c r="D35" s="50" t="s">
        <v>93</v>
      </c>
      <c r="E35" s="50"/>
      <c r="F35" s="50"/>
      <c r="G35" s="105">
        <f ca="1">LOOKUP(B34,INDIRECT("'"&amp;C15&amp;"Baseline'!b6:b9"),INDIRECT("'"&amp;C15&amp;"Baseline'!e6:e9"))</f>
        <v>1.1040000000000001</v>
      </c>
      <c r="H35" s="55"/>
      <c r="J35" s="50"/>
    </row>
    <row r="36" spans="1:16" s="81" customFormat="1" x14ac:dyDescent="0.2">
      <c r="A36" s="92"/>
      <c r="B36" s="86"/>
      <c r="C36" s="86"/>
      <c r="D36" s="86"/>
      <c r="E36" s="86"/>
      <c r="F36" s="86"/>
      <c r="G36" s="86"/>
      <c r="H36" s="93"/>
      <c r="J36" s="56"/>
    </row>
    <row r="37" spans="1:16" s="81" customFormat="1" ht="18" x14ac:dyDescent="0.25">
      <c r="A37" s="92"/>
      <c r="C37" s="67" t="s">
        <v>94</v>
      </c>
      <c r="D37" s="88"/>
      <c r="E37" s="37">
        <f ca="1">ROUNDUP(((((ROUNDUP(NUM4T*CON4T,0)+ROUNDUP(NUMWC*CONWC,0))*SDR_WT)*CPU_SCALE)/PEAKCPUMEM),1)</f>
        <v>14.799999999999999</v>
      </c>
      <c r="F37" s="42"/>
      <c r="G37" s="86"/>
      <c r="H37" s="93"/>
      <c r="J37" s="56"/>
    </row>
    <row r="38" spans="1:16" ht="18" x14ac:dyDescent="0.25">
      <c r="A38" s="51"/>
      <c r="C38" s="67" t="s">
        <v>95</v>
      </c>
      <c r="D38" s="88"/>
      <c r="E38" s="94">
        <f ca="1">ROUNDUP(SUM(NUM4T,NUM4T2,NUMWC)*MEM_WT/(1024*PEAKCPUMEM),0)</f>
        <v>2</v>
      </c>
      <c r="F38" s="50" t="s">
        <v>96</v>
      </c>
      <c r="H38" s="39"/>
      <c r="J38" s="95"/>
    </row>
    <row r="39" spans="1:16" ht="15.75" x14ac:dyDescent="0.25">
      <c r="A39" s="96"/>
      <c r="B39" s="61"/>
      <c r="C39" s="61"/>
      <c r="D39" s="61"/>
      <c r="E39" s="97"/>
      <c r="F39" s="97"/>
      <c r="G39" s="98"/>
      <c r="H39" s="99"/>
      <c r="J39" s="50"/>
    </row>
    <row r="40" spans="1:16" x14ac:dyDescent="0.2">
      <c r="A40" s="91"/>
      <c r="J40" s="50"/>
    </row>
    <row r="41" spans="1:16" ht="15.75" x14ac:dyDescent="0.25">
      <c r="A41" s="208" t="s">
        <v>103</v>
      </c>
      <c r="B41" s="209"/>
      <c r="C41" s="209"/>
      <c r="D41" s="209"/>
      <c r="E41" s="209"/>
      <c r="F41" s="209"/>
      <c r="G41" s="209"/>
      <c r="H41" s="210"/>
      <c r="J41" s="211" t="s">
        <v>129</v>
      </c>
      <c r="K41" s="212"/>
      <c r="L41" s="212"/>
      <c r="M41" s="213"/>
    </row>
    <row r="42" spans="1:16" x14ac:dyDescent="0.2">
      <c r="A42" s="51" t="s">
        <v>91</v>
      </c>
      <c r="B42" s="36" t="s">
        <v>161</v>
      </c>
      <c r="C42" s="50"/>
      <c r="D42" s="50" t="s">
        <v>169</v>
      </c>
      <c r="E42" s="50"/>
      <c r="F42" s="50"/>
      <c r="G42" s="105">
        <f ca="1">IF(G15="Peak",LOOKUP(B42,INDIRECT("'"&amp;C15&amp;"Baseline'!b22:b27"),INDIRECT("'"&amp;C15&amp;"Baseline'!c22:c27")),IF(G15="Average",LOOKUP(B42,INDIRECT("'"&amp;C15&amp;"Baseline'!b22:b27"),INDIRECT("'"&amp;C15&amp;"Baseline'!d22:d27")),0))</f>
        <v>5.2999999999999999E-2</v>
      </c>
      <c r="H42" s="55" t="str">
        <f>G15</f>
        <v>Peak</v>
      </c>
      <c r="J42" s="76" t="s">
        <v>51</v>
      </c>
      <c r="K42" s="77" t="s">
        <v>130</v>
      </c>
      <c r="L42" s="77"/>
      <c r="M42" s="78"/>
    </row>
    <row r="43" spans="1:16" ht="15.75" x14ac:dyDescent="0.25">
      <c r="A43" s="50" t="s">
        <v>180</v>
      </c>
      <c r="B43" s="50" t="str">
        <f>IF(ISNUMBER(FIND("ORA", B42,1)),"ORACLE",IF(ISNUMBER(FIND("DB2", B42,1)),"DB2","SQL Server"))</f>
        <v>ORACLE</v>
      </c>
      <c r="C43" s="50"/>
      <c r="D43" s="50" t="s">
        <v>168</v>
      </c>
      <c r="E43" s="50"/>
      <c r="F43" s="50"/>
      <c r="G43" s="105">
        <f ca="1">IF(G15="Peak",LOOKUP(B42,INDIRECT("'"&amp;C15&amp;"Baseline'!b22:b27"),INDIRECT("'"&amp;C15&amp;"Baseline'!g22:g27")),IF(G15="Average",LOOKUP(B42,INDIRECT("'"&amp;C15&amp;"Baseline'!b22:b27"),INDIRECT("'"&amp;C15&amp;"Baseline'!h22:h27")),0))</f>
        <v>0.112</v>
      </c>
      <c r="H43" s="55" t="str">
        <f>G15</f>
        <v>Peak</v>
      </c>
      <c r="J43" s="76" t="s">
        <v>50</v>
      </c>
      <c r="K43" s="77" t="s">
        <v>131</v>
      </c>
      <c r="L43" s="77"/>
      <c r="M43" s="78"/>
      <c r="P43" s="100"/>
    </row>
    <row r="44" spans="1:16" ht="15.75" x14ac:dyDescent="0.25">
      <c r="A44" s="51"/>
      <c r="B44" s="142"/>
      <c r="C44" s="50"/>
      <c r="D44" s="50" t="s">
        <v>171</v>
      </c>
      <c r="E44" s="50"/>
      <c r="F44" s="50"/>
      <c r="G44" s="105">
        <f ca="1">LOOKUP(B42,INDIRECT("'"&amp;C15&amp;"Baseline'!b22:b27"),INDIRECT("'"&amp;C15&amp;"Baseline'!e22:e27"))</f>
        <v>10.9</v>
      </c>
      <c r="H44" s="55"/>
      <c r="J44" s="82" t="s">
        <v>49</v>
      </c>
      <c r="K44" s="83" t="s">
        <v>132</v>
      </c>
      <c r="L44" s="83"/>
      <c r="M44" s="101"/>
      <c r="P44" s="100"/>
    </row>
    <row r="45" spans="1:16" ht="15.75" x14ac:dyDescent="0.25">
      <c r="A45" s="50"/>
      <c r="B45" s="142"/>
      <c r="C45" s="50"/>
      <c r="D45" s="50" t="s">
        <v>170</v>
      </c>
      <c r="E45" s="50"/>
      <c r="F45" s="50"/>
      <c r="G45" s="105">
        <f ca="1">LOOKUP(B42,INDIRECT("'"&amp;C15&amp;"Baseline'!b22:b27"),INDIRECT("'"&amp;C15&amp;"Baseline'!i22:i27"))</f>
        <v>9.4</v>
      </c>
      <c r="H45" s="55"/>
      <c r="P45" s="100"/>
    </row>
    <row r="46" spans="1:16" ht="15.75" x14ac:dyDescent="0.25">
      <c r="B46" s="142"/>
      <c r="C46" s="50"/>
      <c r="D46" s="50"/>
      <c r="E46" s="50"/>
      <c r="F46" s="50"/>
      <c r="G46" s="105"/>
      <c r="H46" s="55"/>
      <c r="K46" s="50"/>
      <c r="P46" s="100"/>
    </row>
    <row r="47" spans="1:16" x14ac:dyDescent="0.2">
      <c r="A47" s="51" t="s">
        <v>105</v>
      </c>
      <c r="B47" s="36" t="s">
        <v>49</v>
      </c>
      <c r="C47" s="50"/>
      <c r="D47" s="50" t="s">
        <v>123</v>
      </c>
      <c r="E47" s="50"/>
      <c r="F47" s="50"/>
      <c r="G47" s="105">
        <f ca="1">IF(B43="Oracle", LOOKUP(B47,INDIRECT("'"&amp;C15&amp;"Baseline'!b31:b33"),INDIRECT("'"&amp;C15&amp;"Baseline'!d31:d33")),IF(B43="SQL Server",LOOKUP(B47,INDIRECT("'"&amp;C15&amp;"Baseline'!b31:b33"),INDIRECT("'"&amp;C15&amp;"Baseline'!e31:e33")),IF(B43="DB2",LOOKUP(B47,INDIRECT("'"&amp;C15&amp;"Baseline'!b31:b33"),INDIRECT("'"&amp;C15&amp;"Baseline'!c31:c33")),0)))</f>
        <v>32</v>
      </c>
      <c r="H47" s="55" t="s">
        <v>102</v>
      </c>
    </row>
    <row r="48" spans="1:16" x14ac:dyDescent="0.2">
      <c r="A48" s="51"/>
      <c r="B48" s="50"/>
      <c r="C48" s="50"/>
      <c r="D48" s="50"/>
      <c r="E48" s="50"/>
      <c r="F48" s="50"/>
      <c r="G48" s="50"/>
      <c r="H48" s="55"/>
      <c r="K48" s="50"/>
    </row>
    <row r="49" spans="1:13" ht="18" x14ac:dyDescent="0.25">
      <c r="A49" s="51"/>
      <c r="C49" s="67" t="s">
        <v>94</v>
      </c>
      <c r="D49" s="88"/>
      <c r="E49" s="40">
        <f ca="1">ROUNDUP((((ROUNDUP(NUM4T*CON4T,0)+ROUNDUP(NUM2T*CON2T,0))*SDR_DT_RAC+ROUNDUP(NUMWC*CONWC,0)*SDR_DT_Thin)*CPU_SCALE/PEAKCPUMEM),1)</f>
        <v>403.2</v>
      </c>
      <c r="F49" s="50"/>
      <c r="G49" s="102"/>
      <c r="H49" s="39"/>
      <c r="K49" s="102"/>
    </row>
    <row r="50" spans="1:13" ht="18" x14ac:dyDescent="0.25">
      <c r="A50" s="51"/>
      <c r="C50" s="67" t="s">
        <v>95</v>
      </c>
      <c r="D50" s="88"/>
      <c r="E50" s="94">
        <f ca="1">ROUNDUP((((ROUNDUP(NUM2T*CON2T,0)+ROUNDUP(NUM4T*CON4T,0)+ROUNDUP(NUM4T2*CON4T2,0))*MEM_DT_RAC+ROUNDUP(NUMWC*CONWC,0)*MEM_DT_Thin)*MEM_SCALE/(PEAKCPUMEM*1024)+1.2*MEM_SGA),1)</f>
        <v>60.5</v>
      </c>
      <c r="F50" s="50" t="s">
        <v>96</v>
      </c>
      <c r="G50" s="50"/>
      <c r="H50" s="103"/>
    </row>
    <row r="51" spans="1:13" ht="15.75" x14ac:dyDescent="0.25">
      <c r="A51" s="120" t="s">
        <v>127</v>
      </c>
      <c r="B51" s="90"/>
      <c r="C51" s="98"/>
      <c r="D51" s="97"/>
      <c r="E51" s="97"/>
      <c r="F51" s="97"/>
      <c r="G51" s="98"/>
      <c r="H51" s="99"/>
    </row>
    <row r="52" spans="1:13" ht="15.75" x14ac:dyDescent="0.25">
      <c r="A52" s="105"/>
      <c r="B52" s="85"/>
      <c r="C52" s="102"/>
      <c r="D52" s="106"/>
      <c r="E52" s="106"/>
      <c r="F52" s="106"/>
      <c r="G52" s="102"/>
      <c r="H52" s="106"/>
    </row>
    <row r="53" spans="1:13" ht="15.75" x14ac:dyDescent="0.25">
      <c r="A53" s="208" t="s">
        <v>106</v>
      </c>
      <c r="B53" s="209"/>
      <c r="C53" s="209"/>
      <c r="D53" s="209"/>
      <c r="E53" s="209"/>
      <c r="F53" s="209"/>
      <c r="G53" s="209"/>
      <c r="H53" s="210"/>
      <c r="L53" s="42" t="s">
        <v>107</v>
      </c>
    </row>
    <row r="54" spans="1:13" ht="15.75" x14ac:dyDescent="0.25">
      <c r="A54" s="51" t="s">
        <v>91</v>
      </c>
      <c r="B54" s="50" t="s">
        <v>45</v>
      </c>
      <c r="C54" s="86"/>
      <c r="D54" s="50" t="s">
        <v>108</v>
      </c>
      <c r="E54" s="50"/>
      <c r="F54" s="50"/>
      <c r="G54" s="105">
        <f ca="1">IF(G15="Peak",LOOKUP(B54,INDIRECT("'"&amp;C15&amp;"Baseline'!b36:b39"),INDIRECT("'"&amp;C15&amp;"Baseline'!c36:c39")),IF(G15="Average",LOOKUP(B54,INDIRECT("'"&amp;C15&amp;"Baseline'!b36:b39"),INDIRECT("'"&amp;C15&amp;"Baseline'!d36:d39")),0))</f>
        <v>17.7</v>
      </c>
      <c r="H54" s="144" t="str">
        <f>G15</f>
        <v>Peak</v>
      </c>
      <c r="J54" s="211" t="s">
        <v>239</v>
      </c>
      <c r="K54" s="212"/>
      <c r="L54" s="212"/>
      <c r="M54" s="213"/>
    </row>
    <row r="55" spans="1:13" x14ac:dyDescent="0.2">
      <c r="A55" s="51"/>
      <c r="B55" s="50"/>
      <c r="C55" s="50"/>
      <c r="D55" s="50" t="s">
        <v>110</v>
      </c>
      <c r="E55" s="69"/>
      <c r="F55" s="69"/>
      <c r="G55" s="105">
        <v>4</v>
      </c>
      <c r="H55" s="55" t="s">
        <v>102</v>
      </c>
      <c r="J55" s="76" t="s">
        <v>111</v>
      </c>
      <c r="K55" s="107">
        <v>250000</v>
      </c>
      <c r="L55" s="77"/>
      <c r="M55" s="78"/>
    </row>
    <row r="56" spans="1:13" x14ac:dyDescent="0.2">
      <c r="A56" s="51"/>
      <c r="B56" s="148"/>
      <c r="C56" s="50"/>
      <c r="D56" s="50" t="s">
        <v>112</v>
      </c>
      <c r="E56" s="69"/>
      <c r="F56" s="69"/>
      <c r="G56" s="33">
        <v>2</v>
      </c>
      <c r="H56" s="55"/>
      <c r="J56" s="76" t="s">
        <v>113</v>
      </c>
      <c r="K56" s="77">
        <v>50000</v>
      </c>
      <c r="L56" s="77"/>
      <c r="M56" s="78"/>
    </row>
    <row r="57" spans="1:13" ht="18" x14ac:dyDescent="0.25">
      <c r="A57" s="108"/>
      <c r="B57" s="148"/>
      <c r="C57" s="150" t="s">
        <v>94</v>
      </c>
      <c r="D57" s="88"/>
      <c r="E57" s="37">
        <f ca="1">ROUNDUP((SDR_FT*FMS_SCALE)/PEAKCPUMEM,0)</f>
        <v>51</v>
      </c>
      <c r="G57" s="50"/>
      <c r="H57" s="55"/>
      <c r="J57" s="82" t="s">
        <v>114</v>
      </c>
      <c r="K57" s="83">
        <v>50000</v>
      </c>
      <c r="L57" s="83"/>
      <c r="M57" s="101"/>
    </row>
    <row r="58" spans="1:13" ht="18" x14ac:dyDescent="0.25">
      <c r="A58" s="108"/>
      <c r="B58" s="148"/>
      <c r="C58" s="150" t="s">
        <v>115</v>
      </c>
      <c r="D58" s="88"/>
      <c r="E58" s="89">
        <f>(MEM_FT*FMS_SCALE)</f>
        <v>8</v>
      </c>
      <c r="F58" s="50" t="s">
        <v>96</v>
      </c>
      <c r="G58" s="50"/>
      <c r="H58" s="55"/>
      <c r="K58" s="50"/>
    </row>
    <row r="59" spans="1:13" ht="15.75" x14ac:dyDescent="0.25">
      <c r="A59" s="104"/>
      <c r="B59" s="149"/>
      <c r="C59" s="90"/>
      <c r="D59" s="61"/>
      <c r="E59" s="110"/>
      <c r="F59" s="97"/>
      <c r="G59" s="61"/>
      <c r="H59" s="64"/>
      <c r="K59" s="50"/>
    </row>
    <row r="60" spans="1:13" ht="15.75" x14ac:dyDescent="0.25">
      <c r="A60" s="91"/>
      <c r="B60" s="91"/>
      <c r="C60" s="111"/>
      <c r="D60" s="112"/>
      <c r="F60" s="41"/>
      <c r="K60" s="50"/>
    </row>
    <row r="61" spans="1:13" x14ac:dyDescent="0.2">
      <c r="A61" s="91" t="s">
        <v>116</v>
      </c>
      <c r="B61" s="214" t="s">
        <v>117</v>
      </c>
      <c r="C61" s="215"/>
      <c r="D61" s="215"/>
      <c r="E61" s="215"/>
      <c r="F61" s="215"/>
      <c r="G61" s="215"/>
      <c r="H61" s="216"/>
      <c r="K61" s="50"/>
    </row>
    <row r="62" spans="1:13" x14ac:dyDescent="0.2">
      <c r="A62" s="91" t="s">
        <v>118</v>
      </c>
      <c r="B62" s="214"/>
      <c r="C62" s="215"/>
      <c r="D62" s="216"/>
      <c r="E62" s="113"/>
      <c r="F62" s="114" t="s">
        <v>119</v>
      </c>
      <c r="G62" s="206"/>
      <c r="H62" s="207"/>
      <c r="K62" s="50"/>
    </row>
    <row r="63" spans="1:13" x14ac:dyDescent="0.2">
      <c r="A63" s="115" t="s">
        <v>120</v>
      </c>
      <c r="B63" s="203"/>
      <c r="C63" s="204"/>
      <c r="D63" s="205"/>
      <c r="E63" s="116"/>
      <c r="F63" s="117" t="s">
        <v>119</v>
      </c>
      <c r="G63" s="206"/>
      <c r="H63" s="207"/>
    </row>
  </sheetData>
  <mergeCells count="15">
    <mergeCell ref="A33:H33"/>
    <mergeCell ref="A1:H1"/>
    <mergeCell ref="A14:H14"/>
    <mergeCell ref="G17:H17"/>
    <mergeCell ref="J18:M18"/>
    <mergeCell ref="A23:H23"/>
    <mergeCell ref="B63:D63"/>
    <mergeCell ref="G63:H63"/>
    <mergeCell ref="A41:H41"/>
    <mergeCell ref="J41:M41"/>
    <mergeCell ref="A53:H53"/>
    <mergeCell ref="J54:M54"/>
    <mergeCell ref="B61:H61"/>
    <mergeCell ref="B62:D62"/>
    <mergeCell ref="G62:H62"/>
  </mergeCells>
  <phoneticPr fontId="23" type="noConversion"/>
  <dataValidations count="6">
    <dataValidation type="list" allowBlank="1" showInputMessage="1" showErrorMessage="1" sqref="B42 B24">
      <formula1>$C$4:$H$4</formula1>
    </dataValidation>
    <dataValidation type="list" allowBlank="1" showInputMessage="1" showErrorMessage="1" sqref="G15">
      <formula1>$C$7:$C$8</formula1>
    </dataValidation>
    <dataValidation type="list" allowBlank="1" showInputMessage="1" showErrorMessage="1" sqref="C15">
      <formula1>$C$3:$E$3</formula1>
    </dataValidation>
    <dataValidation type="list" allowBlank="1" showInputMessage="1" showErrorMessage="1" sqref="N28">
      <formula1>$S$14:$S$16</formula1>
    </dataValidation>
    <dataValidation type="list" allowBlank="1" showInputMessage="1" showErrorMessage="1" sqref="B34">
      <formula1>$C$6:$F$6</formula1>
    </dataValidation>
    <dataValidation type="list" allowBlank="1" showInputMessage="1" showErrorMessage="1" sqref="B47">
      <formula1>$J$42:$J$44</formula1>
    </dataValidation>
  </dataValidations>
  <hyperlinks>
    <hyperlink ref="E29" r:id="rId1" display="http://www.spec.org/cgi-bin/osgresults?conf=rint2006"/>
    <hyperlink ref="E37" r:id="rId2" display="http://www.spec.org/cgi-bin/osgresults?conf=rint2006"/>
    <hyperlink ref="E49" r:id="rId3" display="http://www.spec.org/cgi-bin/osgresults?conf=rint2006"/>
    <hyperlink ref="E57" r:id="rId4" display="http://www.spec.org/cgi-bin/osgresults?conf=rint2006"/>
  </hyperlinks>
  <printOptions horizontalCentered="1" verticalCentered="1"/>
  <pageMargins left="0.2" right="0.2" top="0.25" bottom="0.25" header="0.05" footer="0.05"/>
  <pageSetup scale="85" orientation="portrait"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3"/>
  <sheetViews>
    <sheetView tabSelected="1" topLeftCell="A17" zoomScaleNormal="100" workbookViewId="0">
      <selection activeCell="E18" sqref="E18"/>
    </sheetView>
  </sheetViews>
  <sheetFormatPr defaultColWidth="9.140625" defaultRowHeight="15" x14ac:dyDescent="0.2"/>
  <cols>
    <col min="1" max="1" width="33.5703125" style="161" customWidth="1"/>
    <col min="2" max="2" width="16.140625" style="161" customWidth="1"/>
    <col min="3" max="3" width="17" style="161" customWidth="1"/>
    <col min="4" max="4" width="16.5703125" style="161" customWidth="1"/>
    <col min="5" max="5" width="17.140625" style="161" customWidth="1"/>
    <col min="6" max="6" width="20.28515625" style="161" customWidth="1"/>
    <col min="7" max="7" width="18.7109375" style="161" bestFit="1" customWidth="1"/>
    <col min="8" max="8" width="16.7109375" style="161" customWidth="1"/>
    <col min="9" max="9" width="3.85546875" style="161" customWidth="1"/>
    <col min="10" max="10" width="18.42578125" style="161" customWidth="1"/>
    <col min="11" max="11" width="9.140625" style="161" customWidth="1"/>
    <col min="12" max="12" width="16.5703125" style="161" customWidth="1"/>
    <col min="13" max="13" width="13.28515625" style="161" customWidth="1"/>
    <col min="14" max="14" width="10.5703125" style="161" customWidth="1"/>
    <col min="15" max="16384" width="9.140625" style="161"/>
  </cols>
  <sheetData>
    <row r="1" spans="1:20" ht="23.25" x14ac:dyDescent="0.35">
      <c r="A1" s="217" t="s">
        <v>52</v>
      </c>
      <c r="B1" s="217"/>
      <c r="C1" s="217"/>
      <c r="D1" s="217"/>
      <c r="E1" s="217"/>
      <c r="F1" s="217"/>
      <c r="G1" s="217"/>
      <c r="H1" s="217"/>
      <c r="I1" s="41"/>
    </row>
    <row r="2" spans="1:20" ht="15.75" x14ac:dyDescent="0.25">
      <c r="A2" s="43" t="s">
        <v>53</v>
      </c>
      <c r="B2" s="44"/>
      <c r="C2" s="45" t="s">
        <v>249</v>
      </c>
      <c r="D2" s="46" t="s">
        <v>54</v>
      </c>
      <c r="E2" s="47"/>
      <c r="F2" s="48"/>
      <c r="G2" s="44"/>
      <c r="H2" s="49"/>
      <c r="I2" s="162"/>
    </row>
    <row r="3" spans="1:20" x14ac:dyDescent="0.2">
      <c r="A3" s="51" t="s">
        <v>55</v>
      </c>
      <c r="B3" s="162"/>
      <c r="C3" s="52" t="s">
        <v>241</v>
      </c>
      <c r="D3" s="52"/>
      <c r="E3" s="162"/>
      <c r="F3" s="54"/>
      <c r="G3" s="162"/>
      <c r="H3" s="163"/>
      <c r="I3" s="162"/>
    </row>
    <row r="4" spans="1:20" x14ac:dyDescent="0.2">
      <c r="A4" s="51" t="s">
        <v>238</v>
      </c>
      <c r="B4" s="162"/>
      <c r="C4" s="56" t="s">
        <v>158</v>
      </c>
      <c r="D4" s="56" t="s">
        <v>233</v>
      </c>
      <c r="E4" s="56" t="s">
        <v>159</v>
      </c>
      <c r="F4" s="56" t="s">
        <v>160</v>
      </c>
      <c r="G4" s="56" t="s">
        <v>161</v>
      </c>
      <c r="H4" s="56" t="s">
        <v>237</v>
      </c>
      <c r="I4" s="162"/>
    </row>
    <row r="5" spans="1:20" x14ac:dyDescent="0.2">
      <c r="A5" s="51" t="s">
        <v>58</v>
      </c>
      <c r="B5" s="162"/>
      <c r="C5" s="56" t="s">
        <v>172</v>
      </c>
      <c r="D5" s="56" t="s">
        <v>179</v>
      </c>
      <c r="E5" s="56" t="s">
        <v>60</v>
      </c>
      <c r="F5" s="56"/>
      <c r="G5" s="56"/>
      <c r="H5" s="163"/>
      <c r="I5" s="162"/>
    </row>
    <row r="6" spans="1:20" x14ac:dyDescent="0.2">
      <c r="A6" s="51" t="s">
        <v>98</v>
      </c>
      <c r="B6" s="162"/>
      <c r="C6" s="162" t="s">
        <v>176</v>
      </c>
      <c r="D6" s="162" t="s">
        <v>175</v>
      </c>
      <c r="E6" s="162" t="s">
        <v>174</v>
      </c>
      <c r="F6" s="162" t="s">
        <v>173</v>
      </c>
      <c r="G6" s="56"/>
      <c r="H6" s="163"/>
      <c r="I6" s="162"/>
    </row>
    <row r="7" spans="1:20" x14ac:dyDescent="0.2">
      <c r="A7" s="51" t="s">
        <v>61</v>
      </c>
      <c r="B7" s="162"/>
      <c r="C7" s="56" t="s">
        <v>62</v>
      </c>
      <c r="D7" s="162" t="s">
        <v>63</v>
      </c>
      <c r="E7" s="162"/>
      <c r="F7" s="162"/>
      <c r="G7" s="162"/>
      <c r="H7" s="163"/>
      <c r="I7" s="162"/>
    </row>
    <row r="8" spans="1:20" x14ac:dyDescent="0.2">
      <c r="A8" s="51"/>
      <c r="B8" s="162"/>
      <c r="C8" s="56" t="s">
        <v>64</v>
      </c>
      <c r="D8" s="162" t="s">
        <v>65</v>
      </c>
      <c r="E8" s="162"/>
      <c r="F8" s="162"/>
      <c r="G8" s="162"/>
      <c r="H8" s="163"/>
      <c r="I8" s="162"/>
    </row>
    <row r="9" spans="1:20" x14ac:dyDescent="0.2">
      <c r="A9" s="51" t="s">
        <v>66</v>
      </c>
      <c r="B9" s="162"/>
      <c r="C9" s="56" t="s">
        <v>67</v>
      </c>
      <c r="D9" s="162" t="s">
        <v>236</v>
      </c>
      <c r="E9" s="162"/>
      <c r="F9" s="162"/>
      <c r="G9" s="162"/>
      <c r="H9" s="163"/>
      <c r="I9" s="162"/>
    </row>
    <row r="10" spans="1:20" x14ac:dyDescent="0.2">
      <c r="A10" s="51" t="s">
        <v>69</v>
      </c>
      <c r="B10" s="162"/>
      <c r="C10" s="57" t="s">
        <v>70</v>
      </c>
      <c r="D10" s="58" t="s">
        <v>71</v>
      </c>
      <c r="E10" s="162"/>
      <c r="F10" s="162"/>
      <c r="G10" s="162"/>
      <c r="H10" s="163"/>
      <c r="I10" s="162"/>
    </row>
    <row r="11" spans="1:20" x14ac:dyDescent="0.2">
      <c r="A11" s="51"/>
      <c r="B11" s="162"/>
      <c r="C11" s="59" t="s">
        <v>72</v>
      </c>
      <c r="D11" s="58" t="s">
        <v>73</v>
      </c>
      <c r="E11" s="162"/>
      <c r="F11" s="162"/>
      <c r="G11" s="162"/>
      <c r="H11" s="163"/>
      <c r="I11" s="162"/>
    </row>
    <row r="12" spans="1:20" ht="15.75" x14ac:dyDescent="0.25">
      <c r="A12" s="60" t="s">
        <v>74</v>
      </c>
      <c r="B12" s="149"/>
      <c r="C12" s="62"/>
      <c r="D12" s="63"/>
      <c r="E12" s="149"/>
      <c r="F12" s="149"/>
      <c r="G12" s="149"/>
      <c r="H12" s="64"/>
      <c r="I12" s="162"/>
    </row>
    <row r="13" spans="1:20" x14ac:dyDescent="0.2">
      <c r="A13" s="162"/>
      <c r="B13" s="162"/>
      <c r="C13" s="56"/>
      <c r="D13" s="162"/>
      <c r="E13" s="162"/>
      <c r="F13" s="162"/>
      <c r="G13" s="162"/>
      <c r="H13" s="162"/>
    </row>
    <row r="14" spans="1:20" ht="15.75" x14ac:dyDescent="0.25">
      <c r="A14" s="218" t="s">
        <v>75</v>
      </c>
      <c r="B14" s="219"/>
      <c r="C14" s="219"/>
      <c r="D14" s="219"/>
      <c r="E14" s="219"/>
      <c r="F14" s="219"/>
      <c r="G14" s="219"/>
      <c r="H14" s="220"/>
      <c r="I14" s="41"/>
      <c r="K14" s="65"/>
      <c r="S14" s="162"/>
      <c r="T14" s="66"/>
    </row>
    <row r="15" spans="1:20" ht="15.75" x14ac:dyDescent="0.25">
      <c r="A15" s="51" t="s">
        <v>76</v>
      </c>
      <c r="B15" s="162"/>
      <c r="C15" s="33" t="s">
        <v>240</v>
      </c>
      <c r="D15" s="162"/>
      <c r="E15" s="162"/>
      <c r="F15" s="162" t="s">
        <v>77</v>
      </c>
      <c r="G15" s="34" t="s">
        <v>234</v>
      </c>
      <c r="H15" s="163"/>
      <c r="S15" s="162"/>
      <c r="T15" s="66"/>
    </row>
    <row r="16" spans="1:20" ht="15.75" x14ac:dyDescent="0.25">
      <c r="A16" s="51"/>
      <c r="B16" s="162"/>
      <c r="C16" s="162"/>
      <c r="D16" s="162"/>
      <c r="E16" s="162"/>
      <c r="F16" s="162"/>
      <c r="G16" s="162"/>
      <c r="H16" s="163"/>
      <c r="S16" s="162"/>
      <c r="T16" s="66"/>
    </row>
    <row r="17" spans="1:17" x14ac:dyDescent="0.2">
      <c r="A17" s="164" t="s">
        <v>78</v>
      </c>
      <c r="B17" s="200"/>
      <c r="C17" s="69"/>
      <c r="D17" s="70" t="s">
        <v>79</v>
      </c>
      <c r="E17" s="71"/>
      <c r="F17" s="162"/>
      <c r="G17" s="221" t="s">
        <v>135</v>
      </c>
      <c r="H17" s="221"/>
      <c r="I17" s="69"/>
      <c r="M17" s="162"/>
      <c r="N17" s="72"/>
      <c r="Q17" s="65"/>
    </row>
    <row r="18" spans="1:17" ht="15.75" x14ac:dyDescent="0.25">
      <c r="A18" s="70" t="s">
        <v>80</v>
      </c>
      <c r="B18" s="35">
        <v>0</v>
      </c>
      <c r="C18" s="162"/>
      <c r="D18" s="73" t="s">
        <v>81</v>
      </c>
      <c r="E18" s="35">
        <v>0.7</v>
      </c>
      <c r="F18" s="162"/>
      <c r="G18" s="74" t="s">
        <v>121</v>
      </c>
      <c r="H18" s="69">
        <v>0.7</v>
      </c>
      <c r="J18" s="211" t="s">
        <v>82</v>
      </c>
      <c r="K18" s="212"/>
      <c r="L18" s="212"/>
      <c r="M18" s="213"/>
    </row>
    <row r="19" spans="1:17" x14ac:dyDescent="0.2">
      <c r="A19" s="70" t="s">
        <v>83</v>
      </c>
      <c r="B19" s="35">
        <v>1200</v>
      </c>
      <c r="C19" s="162"/>
      <c r="D19" s="73" t="s">
        <v>84</v>
      </c>
      <c r="E19" s="35">
        <v>0.8</v>
      </c>
      <c r="F19" s="162"/>
      <c r="G19" s="164" t="s">
        <v>136</v>
      </c>
      <c r="H19" s="35">
        <v>3</v>
      </c>
      <c r="J19" s="76" t="s">
        <v>85</v>
      </c>
      <c r="K19" s="77"/>
      <c r="L19" s="77"/>
      <c r="M19" s="78">
        <v>1.5</v>
      </c>
    </row>
    <row r="20" spans="1:17" x14ac:dyDescent="0.2">
      <c r="A20" s="70" t="s">
        <v>86</v>
      </c>
      <c r="B20" s="35">
        <v>0</v>
      </c>
      <c r="C20" s="162"/>
      <c r="D20" s="73" t="s">
        <v>87</v>
      </c>
      <c r="E20" s="35">
        <v>0.7</v>
      </c>
      <c r="F20" s="162"/>
      <c r="G20" s="157" t="s">
        <v>137</v>
      </c>
      <c r="H20" s="35">
        <v>2</v>
      </c>
      <c r="J20" s="76" t="s">
        <v>88</v>
      </c>
      <c r="K20" s="77"/>
      <c r="L20" s="77"/>
      <c r="M20" s="78">
        <v>2</v>
      </c>
    </row>
    <row r="21" spans="1:17" s="81" customFormat="1" x14ac:dyDescent="0.2">
      <c r="A21" s="122" t="s">
        <v>124</v>
      </c>
      <c r="B21" s="35">
        <v>0</v>
      </c>
      <c r="C21" s="79"/>
      <c r="D21" s="121" t="s">
        <v>125</v>
      </c>
      <c r="E21" s="75">
        <v>0</v>
      </c>
      <c r="F21" s="79"/>
      <c r="G21" s="62"/>
      <c r="H21" s="80"/>
      <c r="J21" s="82" t="s">
        <v>126</v>
      </c>
      <c r="K21" s="83"/>
      <c r="L21" s="83"/>
      <c r="M21" s="84" t="s">
        <v>89</v>
      </c>
    </row>
    <row r="22" spans="1:17" x14ac:dyDescent="0.2">
      <c r="A22" s="85"/>
      <c r="B22" s="85"/>
      <c r="C22" s="86"/>
    </row>
    <row r="23" spans="1:17" ht="15.75" x14ac:dyDescent="0.25">
      <c r="A23" s="208" t="s">
        <v>90</v>
      </c>
      <c r="B23" s="209"/>
      <c r="C23" s="209"/>
      <c r="D23" s="209"/>
      <c r="E23" s="209"/>
      <c r="F23" s="209"/>
      <c r="G23" s="209"/>
      <c r="H23" s="210"/>
    </row>
    <row r="24" spans="1:17" x14ac:dyDescent="0.2">
      <c r="A24" s="51" t="s">
        <v>91</v>
      </c>
      <c r="B24" s="160" t="s">
        <v>161</v>
      </c>
      <c r="C24" s="162"/>
      <c r="D24" s="162" t="s">
        <v>169</v>
      </c>
      <c r="E24" s="162"/>
      <c r="F24" s="162"/>
      <c r="G24" s="168">
        <f ca="1">IF(G15="Peak",LOOKUP(B24,INDIRECT("'"&amp;C15&amp;"Baseline'!b13:b18"),INDIRECT("'"&amp;C15&amp;"Baseline'!c13:c18")),IF(G15="Average",LOOKUP(B24,INDIRECT("'"&amp;C15&amp;"Baseline'!b13:b18"),INDIRECT("'"&amp;C15&amp;"Baseline'!d13:d18")),0))</f>
        <v>0.17</v>
      </c>
      <c r="H24" s="163" t="str">
        <f>G15</f>
        <v>Peak</v>
      </c>
    </row>
    <row r="25" spans="1:17" x14ac:dyDescent="0.2">
      <c r="A25" s="51"/>
      <c r="B25" s="142"/>
      <c r="C25" s="143"/>
      <c r="D25" s="162" t="s">
        <v>168</v>
      </c>
      <c r="E25" s="162"/>
      <c r="F25" s="162"/>
      <c r="G25" s="168">
        <f ca="1">IF(G15="Peak",LOOKUP(B24,INDIRECT("'"&amp;C15&amp;"Baseline'!b13:b18"),INDIRECT("'"&amp;C15&amp;"Baseline'!G13:G18")),IF(G15="Average",LOOKUP(B24,INDIRECT("'"&amp;C15&amp;"Baseline'!b13:b18"),INDIRECT("'"&amp;C15&amp;"Baseline'!H13:H18")),0))</f>
        <v>0.20400000000000001</v>
      </c>
      <c r="H25" s="163" t="str">
        <f>G15</f>
        <v>Peak</v>
      </c>
    </row>
    <row r="26" spans="1:17" x14ac:dyDescent="0.2">
      <c r="A26" s="51"/>
      <c r="B26" s="162"/>
      <c r="C26" s="162"/>
      <c r="D26" s="162" t="s">
        <v>171</v>
      </c>
      <c r="E26" s="162"/>
      <c r="F26" s="162"/>
      <c r="G26" s="168">
        <f ca="1">LOOKUP(B24,INDIRECT("'"&amp;C15&amp;"Baseline'!b13:b18"),INDIRECT("'"&amp;C15&amp;"Baseline'!e13:e18"))</f>
        <v>77.3</v>
      </c>
      <c r="H26" s="163"/>
    </row>
    <row r="27" spans="1:17" ht="16.5" customHeight="1" x14ac:dyDescent="0.2">
      <c r="A27" s="51"/>
      <c r="B27" s="162"/>
      <c r="C27" s="162"/>
      <c r="D27" s="162" t="s">
        <v>170</v>
      </c>
      <c r="E27" s="162"/>
      <c r="F27" s="162"/>
      <c r="G27" s="168">
        <f ca="1">LOOKUP(B24,INDIRECT("'"&amp;C15&amp;"Baseline'!b13:b18"),INDIRECT("'"&amp;C15&amp;"Baseline'!i13:i18"))</f>
        <v>92.759999999999991</v>
      </c>
      <c r="H27" s="163"/>
      <c r="J27" s="146"/>
    </row>
    <row r="28" spans="1:17" x14ac:dyDescent="0.2">
      <c r="A28" s="51"/>
      <c r="B28" s="162"/>
      <c r="C28" s="162"/>
      <c r="D28" s="162"/>
      <c r="E28" s="162"/>
      <c r="F28" s="162"/>
      <c r="G28" s="162"/>
      <c r="H28" s="163"/>
      <c r="K28" s="118"/>
    </row>
    <row r="29" spans="1:17" ht="18" x14ac:dyDescent="0.25">
      <c r="A29" s="51"/>
      <c r="C29" s="164" t="s">
        <v>94</v>
      </c>
      <c r="D29" s="157"/>
      <c r="E29" s="37">
        <f ca="1">ROUNDUP((((ROUNDUP(NUM4T*CON4T,0)*SDR_ET_RAC+ROUNDUP(NUMWC*CONWC,0)*SDR_ET_Thin)*CPU_SCALE)/PEAKCPUMEM),1)</f>
        <v>839.4</v>
      </c>
      <c r="F29" s="162"/>
      <c r="G29" s="162"/>
      <c r="H29" s="163"/>
    </row>
    <row r="30" spans="1:17" ht="18" x14ac:dyDescent="0.25">
      <c r="A30" s="51"/>
      <c r="C30" s="164" t="s">
        <v>95</v>
      </c>
      <c r="D30" s="157"/>
      <c r="E30" s="165">
        <f ca="1">ROUNDUP((((ROUNDUP(NUM4T*CON4T,0)*MEM_ET_RAC)+(ROUNDUP(NUM4T2*CON4T2,0)*MEM_ET_RAC)+(ROUNDUP(NUMWC*CONWC,0)*MEM_ET_Thin))*MEM_SCALE)/(PEAKCPUMEM*1024),1)</f>
        <v>248.5</v>
      </c>
      <c r="F30" s="162" t="s">
        <v>96</v>
      </c>
      <c r="G30" s="162"/>
      <c r="H30" s="163"/>
    </row>
    <row r="31" spans="1:17" ht="23.25" customHeight="1" x14ac:dyDescent="0.25">
      <c r="A31" s="60" t="str">
        <f>IF(ISNUMBER(FIND("AIX", B24,1)),"For AIX, effective memory requirement with AME Expansion Factor = 2.0x. If customer cannot use AME, please have a minimum 2X expanation on the basis of calculation result.","")</f>
        <v/>
      </c>
      <c r="B31" s="149"/>
      <c r="C31" s="149"/>
      <c r="D31" s="149"/>
      <c r="E31" s="149"/>
      <c r="F31" s="90"/>
      <c r="G31" s="149"/>
      <c r="H31" s="38"/>
    </row>
    <row r="32" spans="1:17" x14ac:dyDescent="0.2">
      <c r="A32" s="91"/>
    </row>
    <row r="33" spans="1:16" ht="15.75" x14ac:dyDescent="0.25">
      <c r="A33" s="208" t="s">
        <v>97</v>
      </c>
      <c r="B33" s="209"/>
      <c r="C33" s="209"/>
      <c r="D33" s="209"/>
      <c r="E33" s="209"/>
      <c r="F33" s="209"/>
      <c r="G33" s="209"/>
      <c r="H33" s="210"/>
    </row>
    <row r="34" spans="1:16" x14ac:dyDescent="0.2">
      <c r="A34" s="51" t="s">
        <v>178</v>
      </c>
      <c r="B34" s="160" t="s">
        <v>175</v>
      </c>
      <c r="C34" s="162"/>
      <c r="D34" s="162" t="s">
        <v>92</v>
      </c>
      <c r="E34" s="162"/>
      <c r="F34" s="162"/>
      <c r="G34" s="168">
        <f ca="1">IF(G15="Peak",LOOKUP(B34,INDIRECT("'"&amp;C15&amp;"Baseline'!b6:b9"),INDIRECT("'"&amp;C15&amp;"Baseline'!c6:c9")),IF(G15="Average",LOOKUP(B34,INDIRECT("'"&amp;C15&amp;"Baseline'!b6:b9"),INDIRECT("'"&amp;C15&amp;"Baseline'!d6:d9")),0))</f>
        <v>2E-3</v>
      </c>
      <c r="H34" s="163" t="str">
        <f>G15</f>
        <v>Peak</v>
      </c>
    </row>
    <row r="35" spans="1:16" x14ac:dyDescent="0.2">
      <c r="A35" s="51" t="s">
        <v>177</v>
      </c>
      <c r="B35" s="142" t="s">
        <v>100</v>
      </c>
      <c r="C35" s="162"/>
      <c r="D35" s="162" t="s">
        <v>93</v>
      </c>
      <c r="E35" s="162"/>
      <c r="F35" s="162"/>
      <c r="G35" s="168">
        <f ca="1">LOOKUP(B34,INDIRECT("'"&amp;C15&amp;"Baseline'!b6:b9"),INDIRECT("'"&amp;C15&amp;"Baseline'!e6:e9"))</f>
        <v>0.83</v>
      </c>
      <c r="H35" s="163"/>
      <c r="J35" s="162"/>
    </row>
    <row r="36" spans="1:16" s="81" customFormat="1" x14ac:dyDescent="0.2">
      <c r="A36" s="92"/>
      <c r="B36" s="86"/>
      <c r="C36" s="86"/>
      <c r="D36" s="86"/>
      <c r="E36" s="86"/>
      <c r="F36" s="86"/>
      <c r="G36" s="86"/>
      <c r="H36" s="93"/>
      <c r="J36" s="56"/>
    </row>
    <row r="37" spans="1:16" s="81" customFormat="1" ht="18" x14ac:dyDescent="0.25">
      <c r="A37" s="92"/>
      <c r="C37" s="164" t="s">
        <v>94</v>
      </c>
      <c r="D37" s="157"/>
      <c r="E37" s="37">
        <f ca="1">ROUNDUP(((((ROUNDUP(NUM4T*CON4T,0)+ROUNDUP(NUMWC*CONWC,0))*SDR_WT)*CPU_SCALE)/PEAKCPUMEM),1)</f>
        <v>8.2999999999999989</v>
      </c>
      <c r="F37" s="161"/>
      <c r="G37" s="86"/>
      <c r="H37" s="93"/>
      <c r="J37" s="56"/>
    </row>
    <row r="38" spans="1:16" ht="18" x14ac:dyDescent="0.25">
      <c r="A38" s="51"/>
      <c r="C38" s="164" t="s">
        <v>95</v>
      </c>
      <c r="D38" s="157"/>
      <c r="E38" s="166">
        <f ca="1">ROUNDUP(SUM(NUM4T,NUM4T2,NUMWC)*MEM_WT/(1024*PEAKCPUMEM),0)</f>
        <v>2</v>
      </c>
      <c r="F38" s="162" t="s">
        <v>96</v>
      </c>
      <c r="H38" s="39"/>
      <c r="J38" s="95"/>
    </row>
    <row r="39" spans="1:16" ht="15.75" x14ac:dyDescent="0.25">
      <c r="A39" s="96"/>
      <c r="B39" s="149"/>
      <c r="C39" s="149"/>
      <c r="D39" s="149"/>
      <c r="E39" s="97"/>
      <c r="F39" s="97"/>
      <c r="G39" s="98"/>
      <c r="H39" s="99"/>
      <c r="J39" s="162"/>
    </row>
    <row r="40" spans="1:16" x14ac:dyDescent="0.2">
      <c r="A40" s="91"/>
      <c r="J40" s="162"/>
    </row>
    <row r="41" spans="1:16" ht="15.75" x14ac:dyDescent="0.25">
      <c r="A41" s="208" t="s">
        <v>103</v>
      </c>
      <c r="B41" s="209"/>
      <c r="C41" s="209"/>
      <c r="D41" s="209"/>
      <c r="E41" s="209"/>
      <c r="F41" s="209"/>
      <c r="G41" s="209"/>
      <c r="H41" s="210"/>
      <c r="J41" s="211" t="s">
        <v>129</v>
      </c>
      <c r="K41" s="212"/>
      <c r="L41" s="212"/>
      <c r="M41" s="213"/>
    </row>
    <row r="42" spans="1:16" x14ac:dyDescent="0.2">
      <c r="A42" s="51" t="s">
        <v>91</v>
      </c>
      <c r="B42" s="160" t="s">
        <v>161</v>
      </c>
      <c r="C42" s="162"/>
      <c r="D42" s="162" t="s">
        <v>169</v>
      </c>
      <c r="E42" s="162"/>
      <c r="F42" s="162"/>
      <c r="G42" s="168">
        <f ca="1">IF(G15="Peak",LOOKUP(B42,INDIRECT("'"&amp;C15&amp;"Baseline'!b22:b27"),INDIRECT("'"&amp;C15&amp;"Baseline'!c22:c27")),IF(G15="Average",LOOKUP(B42,INDIRECT("'"&amp;C15&amp;"Baseline'!b22:b27"),INDIRECT("'"&amp;C15&amp;"Baseline'!d22:d27")),0))</f>
        <v>3.5000000000000003E-2</v>
      </c>
      <c r="H42" s="163" t="str">
        <f>G15</f>
        <v>Peak</v>
      </c>
      <c r="J42" s="76" t="s">
        <v>51</v>
      </c>
      <c r="K42" s="77" t="s">
        <v>130</v>
      </c>
      <c r="L42" s="77"/>
      <c r="M42" s="78"/>
    </row>
    <row r="43" spans="1:16" ht="15.75" x14ac:dyDescent="0.25">
      <c r="A43" s="162" t="s">
        <v>180</v>
      </c>
      <c r="B43" s="162" t="str">
        <f>IF(ISNUMBER(FIND("ORA", B42,1)),"ORACLE",IF(ISNUMBER(FIND("DB2", B42,1)),"DB2","SQL Server"))</f>
        <v>ORACLE</v>
      </c>
      <c r="C43" s="162"/>
      <c r="D43" s="162" t="s">
        <v>168</v>
      </c>
      <c r="E43" s="162"/>
      <c r="F43" s="162"/>
      <c r="G43" s="168">
        <f ca="1">IF(G15="Peak",LOOKUP(B42,INDIRECT("'"&amp;C15&amp;"Baseline'!b22:b27"),INDIRECT("'"&amp;C15&amp;"Baseline'!g22:g27")),IF(G15="Average",LOOKUP(B42,INDIRECT("'"&amp;C15&amp;"Baseline'!b22:b27"),INDIRECT("'"&amp;C15&amp;"Baseline'!h22:h27")),0))</f>
        <v>4.2000000000000003E-2</v>
      </c>
      <c r="H43" s="163" t="str">
        <f>G15</f>
        <v>Peak</v>
      </c>
      <c r="J43" s="76" t="s">
        <v>50</v>
      </c>
      <c r="K43" s="77" t="s">
        <v>131</v>
      </c>
      <c r="L43" s="77"/>
      <c r="M43" s="78"/>
      <c r="P43" s="167"/>
    </row>
    <row r="44" spans="1:16" ht="15.75" x14ac:dyDescent="0.25">
      <c r="A44" s="51"/>
      <c r="B44" s="142"/>
      <c r="C44" s="162"/>
      <c r="D44" s="162" t="s">
        <v>171</v>
      </c>
      <c r="E44" s="162"/>
      <c r="F44" s="162"/>
      <c r="G44" s="168">
        <f ca="1">LOOKUP(B42,INDIRECT("'"&amp;C15&amp;"Baseline'!b22:b27"),INDIRECT("'"&amp;C15&amp;"Baseline'!e22:e27"))</f>
        <v>3.2</v>
      </c>
      <c r="H44" s="163"/>
      <c r="J44" s="82" t="s">
        <v>49</v>
      </c>
      <c r="K44" s="83" t="s">
        <v>132</v>
      </c>
      <c r="L44" s="83"/>
      <c r="M44" s="101"/>
      <c r="P44" s="167"/>
    </row>
    <row r="45" spans="1:16" ht="15.75" x14ac:dyDescent="0.25">
      <c r="A45" s="162"/>
      <c r="B45" s="142"/>
      <c r="C45" s="162"/>
      <c r="D45" s="162" t="s">
        <v>170</v>
      </c>
      <c r="E45" s="162"/>
      <c r="F45" s="162"/>
      <c r="G45" s="168">
        <f ca="1">LOOKUP(B42,INDIRECT("'"&amp;C15&amp;"Baseline'!b22:b27"),INDIRECT("'"&amp;C15&amp;"Baseline'!i22:i27"))</f>
        <v>3.84</v>
      </c>
      <c r="H45" s="163"/>
      <c r="P45" s="167"/>
    </row>
    <row r="46" spans="1:16" ht="15.75" x14ac:dyDescent="0.25">
      <c r="B46" s="142"/>
      <c r="C46" s="162"/>
      <c r="D46" s="162"/>
      <c r="E46" s="162"/>
      <c r="F46" s="162"/>
      <c r="G46" s="168"/>
      <c r="H46" s="163"/>
      <c r="K46" s="162"/>
      <c r="P46" s="167"/>
    </row>
    <row r="47" spans="1:16" x14ac:dyDescent="0.2">
      <c r="A47" s="51" t="s">
        <v>105</v>
      </c>
      <c r="B47" s="160" t="s">
        <v>49</v>
      </c>
      <c r="C47" s="162"/>
      <c r="D47" s="162" t="s">
        <v>123</v>
      </c>
      <c r="E47" s="162"/>
      <c r="F47" s="162"/>
      <c r="G47" s="168">
        <f ca="1">IF(B43="Oracle", LOOKUP(B47,INDIRECT("'"&amp;C15&amp;"Baseline'!b31:b33"),INDIRECT("'"&amp;C15&amp;"Baseline'!d31:d33")),IF(B43="SQL Server",LOOKUP(B47,INDIRECT("'"&amp;C15&amp;"Baseline'!b31:b33"),INDIRECT("'"&amp;C15&amp;"Baseline'!e31:e33")),IF(B43="DB2",LOOKUP(B47,INDIRECT("'"&amp;C15&amp;"Baseline'!b31:b33"),INDIRECT("'"&amp;C15&amp;"Baseline'!c31:c33")),0)))</f>
        <v>32</v>
      </c>
      <c r="H47" s="163" t="s">
        <v>102</v>
      </c>
    </row>
    <row r="48" spans="1:16" x14ac:dyDescent="0.2">
      <c r="A48" s="51"/>
      <c r="B48" s="162"/>
      <c r="C48" s="162"/>
      <c r="D48" s="162"/>
      <c r="E48" s="162"/>
      <c r="F48" s="162"/>
      <c r="G48" s="162"/>
      <c r="H48" s="163"/>
      <c r="K48" s="162"/>
    </row>
    <row r="49" spans="1:13" ht="18" x14ac:dyDescent="0.25">
      <c r="A49" s="51"/>
      <c r="C49" s="164" t="s">
        <v>94</v>
      </c>
      <c r="D49" s="157"/>
      <c r="E49" s="40">
        <f ca="1">ROUNDUP((((ROUNDUP(NUM4T*CON4T,0)+ROUNDUP(NUM2T*CON2T,0))*SDR_DT_RAC+ROUNDUP(NUMWC*CONWC,0)*SDR_DT_Thin)*CPU_SCALE/PEAKCPUMEM),1)</f>
        <v>172.8</v>
      </c>
      <c r="F49" s="162"/>
      <c r="G49" s="102"/>
      <c r="H49" s="39"/>
      <c r="K49" s="102"/>
    </row>
    <row r="50" spans="1:13" ht="18" x14ac:dyDescent="0.25">
      <c r="A50" s="51"/>
      <c r="C50" s="164" t="s">
        <v>95</v>
      </c>
      <c r="D50" s="157"/>
      <c r="E50" s="166">
        <f ca="1">ROUNDUP((((ROUNDUP(NUM2T*CON2T,0)+ROUNDUP(NUM4T*CON4T,0)+ROUNDUP(NUM4T2*CON4T2,0))*MEM_DT_RAC+ROUNDUP(NUMWC*CONWC,0)*MEM_DT_Thin)*MEM_SCALE/(PEAKCPUMEM*1024)+1.2*MEM_SGA),1)</f>
        <v>48.7</v>
      </c>
      <c r="F50" s="162" t="s">
        <v>96</v>
      </c>
      <c r="G50" s="162"/>
      <c r="H50" s="103"/>
    </row>
    <row r="51" spans="1:13" ht="15.75" x14ac:dyDescent="0.25">
      <c r="A51" s="120" t="s">
        <v>127</v>
      </c>
      <c r="B51" s="90"/>
      <c r="C51" s="98"/>
      <c r="D51" s="97"/>
      <c r="E51" s="97"/>
      <c r="F51" s="97"/>
      <c r="G51" s="98"/>
      <c r="H51" s="99"/>
    </row>
    <row r="52" spans="1:13" ht="15.75" x14ac:dyDescent="0.25">
      <c r="A52" s="168"/>
      <c r="B52" s="85"/>
      <c r="C52" s="102"/>
      <c r="D52" s="106"/>
      <c r="E52" s="106"/>
      <c r="F52" s="106"/>
      <c r="G52" s="102"/>
      <c r="H52" s="106"/>
    </row>
    <row r="53" spans="1:13" ht="15.75" x14ac:dyDescent="0.25">
      <c r="A53" s="208" t="s">
        <v>106</v>
      </c>
      <c r="B53" s="209"/>
      <c r="C53" s="209"/>
      <c r="D53" s="209"/>
      <c r="E53" s="209"/>
      <c r="F53" s="209"/>
      <c r="G53" s="209"/>
      <c r="H53" s="210"/>
      <c r="L53" s="161" t="s">
        <v>107</v>
      </c>
    </row>
    <row r="54" spans="1:13" ht="15.75" x14ac:dyDescent="0.25">
      <c r="A54" s="51" t="s">
        <v>91</v>
      </c>
      <c r="B54" s="162" t="s">
        <v>45</v>
      </c>
      <c r="C54" s="86"/>
      <c r="D54" s="162" t="s">
        <v>108</v>
      </c>
      <c r="E54" s="162"/>
      <c r="F54" s="162"/>
      <c r="G54" s="168">
        <f ca="1">IF(G15="Peak",LOOKUP(B54,INDIRECT("'"&amp;C15&amp;"Baseline'!b36:b39"),INDIRECT("'"&amp;C15&amp;"Baseline'!c36:c39")),IF(G15="Average",LOOKUP(B54,INDIRECT("'"&amp;C15&amp;"Baseline'!b36:b39"),INDIRECT("'"&amp;C15&amp;"Baseline'!d36:d39")),0))</f>
        <v>26</v>
      </c>
      <c r="H54" s="144" t="str">
        <f>G15</f>
        <v>Peak</v>
      </c>
      <c r="J54" s="211" t="s">
        <v>239</v>
      </c>
      <c r="K54" s="212"/>
      <c r="L54" s="212"/>
      <c r="M54" s="213"/>
    </row>
    <row r="55" spans="1:13" x14ac:dyDescent="0.2">
      <c r="A55" s="51"/>
      <c r="B55" s="162"/>
      <c r="C55" s="162"/>
      <c r="D55" s="162" t="s">
        <v>110</v>
      </c>
      <c r="E55" s="69"/>
      <c r="F55" s="69"/>
      <c r="G55" s="168">
        <v>4</v>
      </c>
      <c r="H55" s="163" t="s">
        <v>102</v>
      </c>
      <c r="J55" s="76" t="s">
        <v>111</v>
      </c>
      <c r="K55" s="107">
        <v>250000</v>
      </c>
      <c r="L55" s="77"/>
      <c r="M55" s="78"/>
    </row>
    <row r="56" spans="1:13" x14ac:dyDescent="0.2">
      <c r="A56" s="51"/>
      <c r="C56" s="162"/>
      <c r="D56" s="162" t="s">
        <v>112</v>
      </c>
      <c r="E56" s="69"/>
      <c r="F56" s="69"/>
      <c r="G56" s="33">
        <v>3</v>
      </c>
      <c r="H56" s="163"/>
      <c r="J56" s="76" t="s">
        <v>113</v>
      </c>
      <c r="K56" s="77">
        <v>50000</v>
      </c>
      <c r="L56" s="77"/>
      <c r="M56" s="78"/>
    </row>
    <row r="57" spans="1:13" ht="18" x14ac:dyDescent="0.25">
      <c r="A57" s="108"/>
      <c r="C57" s="164" t="s">
        <v>94</v>
      </c>
      <c r="D57" s="157"/>
      <c r="E57" s="37">
        <f ca="1">ROUNDUP((SDR_FT*FMS_SCALE)/PEAKCPUMEM,0)</f>
        <v>112</v>
      </c>
      <c r="G57" s="162"/>
      <c r="H57" s="163"/>
      <c r="J57" s="82" t="s">
        <v>114</v>
      </c>
      <c r="K57" s="83">
        <v>50000</v>
      </c>
      <c r="L57" s="83"/>
      <c r="M57" s="101"/>
    </row>
    <row r="58" spans="1:13" ht="18" x14ac:dyDescent="0.25">
      <c r="A58" s="108"/>
      <c r="C58" s="164" t="s">
        <v>115</v>
      </c>
      <c r="D58" s="157"/>
      <c r="E58" s="165">
        <f>(MEM_FT*FMS_SCALE)</f>
        <v>12</v>
      </c>
      <c r="F58" s="162" t="s">
        <v>96</v>
      </c>
      <c r="G58" s="162"/>
      <c r="H58" s="163"/>
      <c r="K58" s="162"/>
    </row>
    <row r="59" spans="1:13" ht="15.75" x14ac:dyDescent="0.25">
      <c r="A59" s="104"/>
      <c r="B59" s="149"/>
      <c r="C59" s="90"/>
      <c r="D59" s="149"/>
      <c r="E59" s="110"/>
      <c r="F59" s="97"/>
      <c r="G59" s="149"/>
      <c r="H59" s="64"/>
      <c r="K59" s="162"/>
    </row>
    <row r="60" spans="1:13" ht="15.75" x14ac:dyDescent="0.25">
      <c r="A60" s="91"/>
      <c r="B60" s="91"/>
      <c r="C60" s="111"/>
      <c r="D60" s="112"/>
      <c r="F60" s="41"/>
      <c r="K60" s="162"/>
    </row>
    <row r="61" spans="1:13" x14ac:dyDescent="0.2">
      <c r="A61" s="91" t="s">
        <v>116</v>
      </c>
      <c r="B61" s="214" t="s">
        <v>117</v>
      </c>
      <c r="C61" s="215"/>
      <c r="D61" s="215"/>
      <c r="E61" s="215"/>
      <c r="F61" s="215"/>
      <c r="G61" s="215"/>
      <c r="H61" s="216"/>
      <c r="K61" s="162"/>
    </row>
    <row r="62" spans="1:13" x14ac:dyDescent="0.2">
      <c r="A62" s="91" t="s">
        <v>118</v>
      </c>
      <c r="B62" s="214"/>
      <c r="C62" s="215"/>
      <c r="D62" s="216"/>
      <c r="E62" s="113"/>
      <c r="F62" s="114" t="s">
        <v>119</v>
      </c>
      <c r="G62" s="206"/>
      <c r="H62" s="207"/>
      <c r="K62" s="162"/>
    </row>
    <row r="63" spans="1:13" x14ac:dyDescent="0.2">
      <c r="A63" s="115" t="s">
        <v>120</v>
      </c>
      <c r="B63" s="203"/>
      <c r="C63" s="204"/>
      <c r="D63" s="205"/>
      <c r="E63" s="116"/>
      <c r="F63" s="117" t="s">
        <v>119</v>
      </c>
      <c r="G63" s="206"/>
      <c r="H63" s="207"/>
    </row>
  </sheetData>
  <mergeCells count="15">
    <mergeCell ref="A33:H33"/>
    <mergeCell ref="A1:H1"/>
    <mergeCell ref="A14:H14"/>
    <mergeCell ref="G17:H17"/>
    <mergeCell ref="J18:M18"/>
    <mergeCell ref="A23:H23"/>
    <mergeCell ref="B63:D63"/>
    <mergeCell ref="G63:H63"/>
    <mergeCell ref="A41:H41"/>
    <mergeCell ref="J41:M41"/>
    <mergeCell ref="A53:H53"/>
    <mergeCell ref="J54:M54"/>
    <mergeCell ref="B61:H61"/>
    <mergeCell ref="B62:D62"/>
    <mergeCell ref="G62:H62"/>
  </mergeCells>
  <phoneticPr fontId="24" type="noConversion"/>
  <dataValidations count="6">
    <dataValidation type="list" allowBlank="1" showInputMessage="1" showErrorMessage="1" sqref="B47">
      <formula1>$J$42:$J$44</formula1>
    </dataValidation>
    <dataValidation type="list" allowBlank="1" showInputMessage="1" showErrorMessage="1" sqref="B34">
      <formula1>$C$6:$F$6</formula1>
    </dataValidation>
    <dataValidation type="list" allowBlank="1" showInputMessage="1" showErrorMessage="1" sqref="N28">
      <formula1>$S$14:$S$16</formula1>
    </dataValidation>
    <dataValidation type="list" allowBlank="1" showInputMessage="1" showErrorMessage="1" sqref="C15">
      <formula1>$C$3:$E$3</formula1>
    </dataValidation>
    <dataValidation type="list" allowBlank="1" showInputMessage="1" showErrorMessage="1" sqref="G15">
      <formula1>$C$7:$C$8</formula1>
    </dataValidation>
    <dataValidation type="list" allowBlank="1" showInputMessage="1" showErrorMessage="1" sqref="B42 B24">
      <formula1>$C$4:$H$4</formula1>
    </dataValidation>
  </dataValidations>
  <hyperlinks>
    <hyperlink ref="E29" r:id="rId1" display="http://www.spec.org/cgi-bin/osgresults?conf=rint2006"/>
    <hyperlink ref="E37" r:id="rId2" display="http://www.spec.org/cgi-bin/osgresults?conf=rint2006"/>
    <hyperlink ref="E49" r:id="rId3" display="http://www.spec.org/cgi-bin/osgresults?conf=rint2006"/>
    <hyperlink ref="E57" r:id="rId4" display="http://www.spec.org/cgi-bin/osgresults?conf=rint2006"/>
  </hyperlinks>
  <printOptions horizontalCentered="1" verticalCentered="1"/>
  <pageMargins left="0.2" right="0.2" top="0.25" bottom="0.25" header="0.05" footer="0.05"/>
  <pageSetup scale="85" orientation="portrait" r:id="rId5"/>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7"/>
  <sheetViews>
    <sheetView topLeftCell="A7" zoomScale="70" zoomScaleNormal="70" workbookViewId="0">
      <selection activeCell="H44" sqref="H44"/>
    </sheetView>
  </sheetViews>
  <sheetFormatPr defaultColWidth="9.140625" defaultRowHeight="15" x14ac:dyDescent="0.2"/>
  <cols>
    <col min="1" max="1" width="16.5703125" style="148" customWidth="1"/>
    <col min="2" max="2" width="15.42578125" style="148" customWidth="1"/>
    <col min="3" max="3" width="17" style="148" customWidth="1"/>
    <col min="4" max="4" width="19.85546875" style="148" customWidth="1"/>
    <col min="5" max="5" width="17.140625" style="148" customWidth="1"/>
    <col min="6" max="6" width="20.28515625" style="148" customWidth="1"/>
    <col min="7" max="7" width="18.7109375" style="148" bestFit="1" customWidth="1"/>
    <col min="8" max="8" width="16.7109375" style="148" customWidth="1"/>
    <col min="9" max="9" width="3.85546875" style="148" customWidth="1"/>
    <col min="10" max="10" width="18.42578125" style="148" customWidth="1"/>
    <col min="11" max="11" width="9.140625" style="148" customWidth="1"/>
    <col min="12" max="12" width="16.5703125" style="148" customWidth="1"/>
    <col min="13" max="13" width="9.7109375" style="148" customWidth="1"/>
    <col min="14" max="14" width="10.5703125" style="148" customWidth="1"/>
    <col min="15" max="16384" width="9.140625" style="148"/>
  </cols>
  <sheetData>
    <row r="1" spans="1:20" ht="23.25" x14ac:dyDescent="0.35">
      <c r="A1" s="217" t="s">
        <v>204</v>
      </c>
      <c r="B1" s="217"/>
      <c r="C1" s="217"/>
      <c r="D1" s="217"/>
      <c r="E1" s="217"/>
      <c r="F1" s="217"/>
      <c r="G1" s="217"/>
      <c r="H1" s="217"/>
      <c r="I1" s="41"/>
    </row>
    <row r="2" spans="1:20" ht="15.75" x14ac:dyDescent="0.25">
      <c r="A2" s="43" t="s">
        <v>53</v>
      </c>
      <c r="B2" s="44"/>
      <c r="C2" s="45" t="s">
        <v>184</v>
      </c>
      <c r="D2" s="46" t="s">
        <v>54</v>
      </c>
      <c r="E2" s="47"/>
      <c r="F2" s="48"/>
      <c r="G2" s="44"/>
      <c r="H2" s="49"/>
      <c r="I2" s="50"/>
    </row>
    <row r="3" spans="1:20" x14ac:dyDescent="0.2">
      <c r="A3" s="51" t="s">
        <v>55</v>
      </c>
      <c r="B3" s="50"/>
      <c r="C3" s="52" t="s">
        <v>186</v>
      </c>
      <c r="D3" s="53" t="s">
        <v>167</v>
      </c>
      <c r="E3" s="50"/>
      <c r="F3" s="54"/>
      <c r="G3" s="50"/>
      <c r="H3" s="55"/>
      <c r="I3" s="50"/>
    </row>
    <row r="4" spans="1:20" x14ac:dyDescent="0.2">
      <c r="A4" s="51" t="s">
        <v>192</v>
      </c>
      <c r="B4" s="50"/>
      <c r="C4" s="56" t="s">
        <v>190</v>
      </c>
      <c r="D4" s="56"/>
      <c r="E4" s="56"/>
      <c r="F4" s="56"/>
      <c r="G4" s="56"/>
      <c r="H4" s="56"/>
      <c r="I4" s="50"/>
    </row>
    <row r="5" spans="1:20" x14ac:dyDescent="0.2">
      <c r="A5" s="51" t="s">
        <v>58</v>
      </c>
      <c r="B5" s="50"/>
      <c r="C5" s="56" t="s">
        <v>179</v>
      </c>
      <c r="D5" s="56"/>
      <c r="E5" s="56"/>
      <c r="F5" s="56"/>
      <c r="G5" s="56"/>
      <c r="H5" s="55"/>
      <c r="I5" s="50"/>
    </row>
    <row r="6" spans="1:20" x14ac:dyDescent="0.2">
      <c r="A6" s="51" t="s">
        <v>193</v>
      </c>
      <c r="B6" s="50"/>
      <c r="C6" s="50" t="s">
        <v>194</v>
      </c>
      <c r="D6" s="50"/>
      <c r="E6" s="50"/>
      <c r="F6" s="50"/>
      <c r="G6" s="56"/>
      <c r="H6" s="55"/>
      <c r="I6" s="50"/>
    </row>
    <row r="7" spans="1:20" x14ac:dyDescent="0.2">
      <c r="A7" s="51" t="s">
        <v>61</v>
      </c>
      <c r="B7" s="50"/>
      <c r="C7" s="56" t="s">
        <v>62</v>
      </c>
      <c r="D7" s="50" t="s">
        <v>63</v>
      </c>
      <c r="E7" s="50"/>
      <c r="F7" s="50"/>
      <c r="G7" s="50"/>
      <c r="H7" s="55"/>
      <c r="I7" s="50"/>
    </row>
    <row r="8" spans="1:20" x14ac:dyDescent="0.2">
      <c r="A8" s="51"/>
      <c r="B8" s="50"/>
      <c r="C8" s="56" t="s">
        <v>64</v>
      </c>
      <c r="D8" s="50" t="s">
        <v>65</v>
      </c>
      <c r="E8" s="50"/>
      <c r="F8" s="50"/>
      <c r="G8" s="50"/>
      <c r="H8" s="55"/>
      <c r="I8" s="50"/>
    </row>
    <row r="9" spans="1:20" x14ac:dyDescent="0.2">
      <c r="A9" s="51" t="s">
        <v>66</v>
      </c>
      <c r="B9" s="50"/>
      <c r="C9" s="56" t="s">
        <v>195</v>
      </c>
      <c r="D9" s="50" t="s">
        <v>203</v>
      </c>
      <c r="E9" s="50"/>
      <c r="F9" s="50"/>
      <c r="G9" s="50"/>
      <c r="H9" s="55"/>
      <c r="I9" s="50"/>
    </row>
    <row r="10" spans="1:20" x14ac:dyDescent="0.2">
      <c r="A10" s="51" t="s">
        <v>69</v>
      </c>
      <c r="B10" s="50"/>
      <c r="C10" s="57" t="s">
        <v>70</v>
      </c>
      <c r="D10" s="58" t="s">
        <v>71</v>
      </c>
      <c r="E10" s="50"/>
      <c r="F10" s="50"/>
      <c r="G10" s="50"/>
      <c r="H10" s="55"/>
      <c r="I10" s="50"/>
    </row>
    <row r="11" spans="1:20" x14ac:dyDescent="0.2">
      <c r="A11" s="51"/>
      <c r="B11" s="50"/>
      <c r="C11" s="59" t="s">
        <v>72</v>
      </c>
      <c r="D11" s="58" t="s">
        <v>73</v>
      </c>
      <c r="E11" s="50"/>
      <c r="F11" s="50"/>
      <c r="G11" s="50"/>
      <c r="H11" s="55"/>
      <c r="I11" s="50"/>
    </row>
    <row r="12" spans="1:20" ht="15.75" x14ac:dyDescent="0.25">
      <c r="A12" s="60" t="s">
        <v>74</v>
      </c>
      <c r="B12" s="149"/>
      <c r="C12" s="62"/>
      <c r="D12" s="63"/>
      <c r="E12" s="149"/>
      <c r="F12" s="149"/>
      <c r="G12" s="149"/>
      <c r="H12" s="64"/>
      <c r="I12" s="50"/>
    </row>
    <row r="13" spans="1:20" x14ac:dyDescent="0.2">
      <c r="A13" s="50"/>
      <c r="B13" s="50"/>
      <c r="C13" s="56"/>
      <c r="D13" s="50"/>
      <c r="E13" s="50"/>
      <c r="F13" s="50"/>
      <c r="G13" s="50"/>
      <c r="H13" s="50"/>
    </row>
    <row r="14" spans="1:20" ht="15.75" x14ac:dyDescent="0.25">
      <c r="A14" s="218" t="s">
        <v>75</v>
      </c>
      <c r="B14" s="219"/>
      <c r="C14" s="219"/>
      <c r="D14" s="219"/>
      <c r="E14" s="219"/>
      <c r="F14" s="219"/>
      <c r="G14" s="219"/>
      <c r="H14" s="220"/>
      <c r="I14" s="41"/>
      <c r="K14" s="65"/>
      <c r="S14" s="50"/>
      <c r="T14" s="66"/>
    </row>
    <row r="15" spans="1:20" ht="15.75" x14ac:dyDescent="0.25">
      <c r="A15" s="51" t="s">
        <v>76</v>
      </c>
      <c r="B15" s="50"/>
      <c r="C15" s="33" t="s">
        <v>167</v>
      </c>
      <c r="D15" s="50"/>
      <c r="E15" s="50"/>
      <c r="F15" s="50" t="s">
        <v>77</v>
      </c>
      <c r="G15" s="34" t="s">
        <v>62</v>
      </c>
      <c r="H15" s="55"/>
      <c r="S15" s="50"/>
      <c r="T15" s="66"/>
    </row>
    <row r="16" spans="1:20" ht="15.75" x14ac:dyDescent="0.25">
      <c r="A16" s="51"/>
      <c r="B16" s="50"/>
      <c r="C16" s="50"/>
      <c r="D16" s="50"/>
      <c r="E16" s="50"/>
      <c r="F16" s="50"/>
      <c r="G16" s="50"/>
      <c r="H16" s="55"/>
      <c r="S16" s="50"/>
      <c r="T16" s="66"/>
    </row>
    <row r="17" spans="1:17" x14ac:dyDescent="0.2">
      <c r="A17" s="150" t="s">
        <v>78</v>
      </c>
      <c r="B17" s="152"/>
      <c r="C17" s="69"/>
      <c r="D17" s="70" t="s">
        <v>79</v>
      </c>
      <c r="E17" s="71"/>
      <c r="F17" s="50"/>
      <c r="G17" s="221" t="s">
        <v>135</v>
      </c>
      <c r="H17" s="221"/>
      <c r="I17" s="69"/>
      <c r="M17" s="50"/>
      <c r="N17" s="72"/>
      <c r="Q17" s="65"/>
    </row>
    <row r="18" spans="1:17" ht="15.75" x14ac:dyDescent="0.25">
      <c r="A18" s="70" t="s">
        <v>80</v>
      </c>
      <c r="B18" s="35">
        <v>0</v>
      </c>
      <c r="C18" s="50"/>
      <c r="D18" s="73" t="s">
        <v>81</v>
      </c>
      <c r="E18" s="35">
        <v>1</v>
      </c>
      <c r="F18" s="50"/>
      <c r="G18" s="74" t="s">
        <v>121</v>
      </c>
      <c r="H18" s="69">
        <v>0.7</v>
      </c>
      <c r="J18" s="211" t="s">
        <v>82</v>
      </c>
      <c r="K18" s="212"/>
      <c r="L18" s="212"/>
      <c r="M18" s="213"/>
    </row>
    <row r="19" spans="1:17" x14ac:dyDescent="0.2">
      <c r="A19" s="70" t="s">
        <v>83</v>
      </c>
      <c r="B19" s="35">
        <v>0</v>
      </c>
      <c r="C19" s="50"/>
      <c r="D19" s="73" t="s">
        <v>84</v>
      </c>
      <c r="E19" s="35">
        <v>0</v>
      </c>
      <c r="F19" s="50"/>
      <c r="G19" s="150" t="s">
        <v>136</v>
      </c>
      <c r="H19" s="35">
        <v>2</v>
      </c>
      <c r="J19" s="76" t="s">
        <v>85</v>
      </c>
      <c r="K19" s="77"/>
      <c r="L19" s="77"/>
      <c r="M19" s="78">
        <v>1.5</v>
      </c>
    </row>
    <row r="20" spans="1:17" x14ac:dyDescent="0.2">
      <c r="A20" s="70" t="s">
        <v>86</v>
      </c>
      <c r="B20" s="35">
        <v>1200</v>
      </c>
      <c r="C20" s="50"/>
      <c r="D20" s="73" t="s">
        <v>87</v>
      </c>
      <c r="E20" s="35">
        <v>0.7</v>
      </c>
      <c r="F20" s="50"/>
      <c r="G20" s="88" t="s">
        <v>137</v>
      </c>
      <c r="H20" s="35">
        <v>2</v>
      </c>
      <c r="J20" s="76" t="s">
        <v>88</v>
      </c>
      <c r="K20" s="77"/>
      <c r="L20" s="77"/>
      <c r="M20" s="78">
        <v>2</v>
      </c>
    </row>
    <row r="21" spans="1:17" s="81" customFormat="1" x14ac:dyDescent="0.2">
      <c r="A21" s="122" t="s">
        <v>124</v>
      </c>
      <c r="B21" s="35">
        <v>0</v>
      </c>
      <c r="C21" s="79"/>
      <c r="D21" s="121" t="s">
        <v>125</v>
      </c>
      <c r="E21" s="75">
        <v>0</v>
      </c>
      <c r="F21" s="79"/>
      <c r="G21" s="62"/>
      <c r="H21" s="80"/>
      <c r="J21" s="82" t="s">
        <v>126</v>
      </c>
      <c r="K21" s="83"/>
      <c r="L21" s="83"/>
      <c r="M21" s="84" t="s">
        <v>89</v>
      </c>
    </row>
    <row r="22" spans="1:17" x14ac:dyDescent="0.2">
      <c r="A22" s="85"/>
      <c r="B22" s="85"/>
      <c r="C22" s="86"/>
    </row>
    <row r="23" spans="1:17" ht="15.75" x14ac:dyDescent="0.25">
      <c r="A23" s="208" t="s">
        <v>90</v>
      </c>
      <c r="B23" s="209"/>
      <c r="C23" s="209"/>
      <c r="D23" s="209"/>
      <c r="E23" s="209"/>
      <c r="F23" s="209"/>
      <c r="G23" s="209"/>
      <c r="H23" s="210"/>
    </row>
    <row r="24" spans="1:17" x14ac:dyDescent="0.2">
      <c r="A24" s="51" t="s">
        <v>91</v>
      </c>
      <c r="B24" s="36" t="s">
        <v>190</v>
      </c>
      <c r="C24" s="50"/>
      <c r="D24" s="50" t="s">
        <v>196</v>
      </c>
      <c r="E24" s="50"/>
      <c r="F24" s="50"/>
      <c r="G24" s="105">
        <f ca="1">IF(G15="Peak",LOOKUP(B24,INDIRECT("'"&amp;C15&amp;"Baseline'!b44:b47"),INDIRECT("'"&amp;C15&amp;"Baseline'!c44:c47")),IF(G15="Average",LOOKUP(B24,INDIRECT("'"&amp;C15&amp;"Baseline'!b44:b47"),INDIRECT("'"&amp;C15&amp;"Baseline'!d44:d47")),0))</f>
        <v>6.0000000000000001E-3</v>
      </c>
      <c r="H24" s="55" t="str">
        <f>G15</f>
        <v>Peak</v>
      </c>
    </row>
    <row r="25" spans="1:17" x14ac:dyDescent="0.2">
      <c r="A25" s="51"/>
      <c r="B25" s="50"/>
      <c r="C25" s="50"/>
      <c r="D25" s="50" t="s">
        <v>171</v>
      </c>
      <c r="E25" s="50"/>
      <c r="F25" s="50"/>
      <c r="G25" s="105">
        <f ca="1">LOOKUP(B24,INDIRECT("'"&amp;C15&amp;"Baseline'!b44:b47"),INDIRECT("'"&amp;C15&amp;"Baseline'!e44:e47"))</f>
        <v>53.6</v>
      </c>
      <c r="H25" s="55"/>
    </row>
    <row r="26" spans="1:17" x14ac:dyDescent="0.2">
      <c r="A26" s="51"/>
      <c r="B26" s="50"/>
      <c r="C26" s="50"/>
      <c r="D26" s="50"/>
      <c r="E26" s="50"/>
      <c r="F26" s="50"/>
      <c r="G26" s="50"/>
      <c r="H26" s="55"/>
      <c r="K26" s="118"/>
    </row>
    <row r="27" spans="1:17" ht="18" x14ac:dyDescent="0.25">
      <c r="A27" s="51"/>
      <c r="B27" s="156" t="s">
        <v>202</v>
      </c>
      <c r="C27" s="157"/>
      <c r="D27" s="157"/>
      <c r="E27" s="165">
        <f ca="1">ROUNDUP((ROUNDUP(NUMWC*CONWC,0)*SDR_ET_Thin*CPU_SCALE/PEAKCPUMEM),1)</f>
        <v>14.4</v>
      </c>
      <c r="F27" s="50"/>
      <c r="G27" s="50"/>
      <c r="H27" s="55"/>
    </row>
    <row r="28" spans="1:17" ht="18" x14ac:dyDescent="0.25">
      <c r="A28" s="51"/>
      <c r="B28" s="156" t="s">
        <v>201</v>
      </c>
      <c r="C28" s="157"/>
      <c r="D28" s="157"/>
      <c r="E28" s="158">
        <f ca="1">ROUNDUP((ROUNDUP(NUMWC*CONWC,0)*MEM_ET_Thin*MEM_SCALE/(PEAKCPUMEM*1024)),1)</f>
        <v>125.69999999999999</v>
      </c>
      <c r="F28" s="50" t="s">
        <v>96</v>
      </c>
      <c r="G28" s="50"/>
      <c r="H28" s="55"/>
    </row>
    <row r="29" spans="1:17" ht="15.75" x14ac:dyDescent="0.25">
      <c r="A29" s="60"/>
      <c r="B29" s="149"/>
      <c r="C29" s="149"/>
      <c r="D29" s="149"/>
      <c r="E29" s="149"/>
      <c r="F29" s="90"/>
      <c r="G29" s="149"/>
      <c r="H29" s="38"/>
    </row>
    <row r="30" spans="1:17" x14ac:dyDescent="0.2">
      <c r="A30" s="91"/>
    </row>
    <row r="31" spans="1:17" ht="15.75" x14ac:dyDescent="0.25">
      <c r="A31" s="208" t="s">
        <v>97</v>
      </c>
      <c r="B31" s="209"/>
      <c r="C31" s="209"/>
      <c r="D31" s="209"/>
      <c r="E31" s="209"/>
      <c r="F31" s="209"/>
      <c r="G31" s="209"/>
      <c r="H31" s="210"/>
    </row>
    <row r="32" spans="1:17" x14ac:dyDescent="0.2">
      <c r="A32" s="51" t="s">
        <v>91</v>
      </c>
      <c r="B32" s="36" t="s">
        <v>190</v>
      </c>
      <c r="C32" s="50"/>
      <c r="D32" s="50" t="s">
        <v>196</v>
      </c>
      <c r="E32" s="50"/>
      <c r="F32" s="50"/>
      <c r="G32" s="159">
        <f ca="1">IF(G15="Peak",LOOKUP(B32,INDIRECT("'"&amp;C15&amp;"Baseline'!b44:b47"),INDIRECT("'"&amp;C15&amp;"Baseline'!F44:F47")),IF(G15="Average",LOOKUP(B32,INDIRECT("'"&amp;C15&amp;"Baseline'!b44:b47"),INDIRECT("'"&amp;C15&amp;"Baseline'!G44:G47")),0))</f>
        <v>2.9999999999999997E-4</v>
      </c>
      <c r="H32" s="55" t="str">
        <f>G15</f>
        <v>Peak</v>
      </c>
    </row>
    <row r="33" spans="1:16" x14ac:dyDescent="0.2">
      <c r="A33" s="51"/>
      <c r="B33" s="86"/>
      <c r="C33" s="50"/>
      <c r="D33" s="50" t="s">
        <v>171</v>
      </c>
      <c r="E33" s="50"/>
      <c r="F33" s="50"/>
      <c r="G33" s="105">
        <f ca="1">LOOKUP(B32,INDIRECT("'"&amp;C15&amp;"Baseline'!b44:b47"),INDIRECT("'"&amp;C15&amp;"Baseline'!h44:h47"))</f>
        <v>0.68</v>
      </c>
      <c r="H33" s="55"/>
      <c r="J33" s="50"/>
    </row>
    <row r="34" spans="1:16" s="81" customFormat="1" x14ac:dyDescent="0.2">
      <c r="A34" s="92"/>
      <c r="B34" s="86"/>
      <c r="C34" s="86"/>
      <c r="D34" s="86"/>
      <c r="E34" s="86"/>
      <c r="F34" s="86"/>
      <c r="G34" s="86"/>
      <c r="H34" s="93"/>
      <c r="J34" s="56"/>
    </row>
    <row r="35" spans="1:16" s="81" customFormat="1" ht="18" x14ac:dyDescent="0.25">
      <c r="A35" s="92"/>
      <c r="B35" s="164" t="s">
        <v>202</v>
      </c>
      <c r="C35" s="150"/>
      <c r="D35" s="88"/>
      <c r="E35" s="165">
        <f ca="1">ROUNDUP((ROUNDUP(NUMWC*CONWC,0)*SDR_WT_Thin*CPU_SCALE/PEAKCPUMEM),1)</f>
        <v>0.79999999999999993</v>
      </c>
      <c r="F35" s="148"/>
      <c r="G35" s="86"/>
      <c r="H35" s="93"/>
      <c r="J35" s="56"/>
    </row>
    <row r="36" spans="1:16" ht="18" x14ac:dyDescent="0.25">
      <c r="A36" s="51"/>
      <c r="B36" s="156" t="s">
        <v>201</v>
      </c>
      <c r="C36" s="150"/>
      <c r="D36" s="88"/>
      <c r="E36" s="94">
        <f ca="1">ROUNDUP((ROUNDUP(NUMWC*CONWC,0)*MEM_WT_Thin*MEM_SCALE/(PEAKCPUMEM*1024)),1)</f>
        <v>1.6</v>
      </c>
      <c r="F36" s="50" t="s">
        <v>96</v>
      </c>
      <c r="H36" s="39"/>
      <c r="J36" s="95"/>
    </row>
    <row r="37" spans="1:16" ht="15.75" x14ac:dyDescent="0.25">
      <c r="A37" s="96"/>
      <c r="B37" s="149"/>
      <c r="C37" s="149"/>
      <c r="D37" s="149"/>
      <c r="E37" s="97"/>
      <c r="F37" s="97"/>
      <c r="G37" s="98"/>
      <c r="H37" s="99"/>
      <c r="J37" s="50"/>
    </row>
    <row r="38" spans="1:16" ht="15.75" x14ac:dyDescent="0.25">
      <c r="A38" s="208" t="s">
        <v>103</v>
      </c>
      <c r="B38" s="209"/>
      <c r="C38" s="209"/>
      <c r="D38" s="209"/>
      <c r="E38" s="209"/>
      <c r="F38" s="209"/>
      <c r="G38" s="209"/>
      <c r="H38" s="210"/>
    </row>
    <row r="39" spans="1:16" x14ac:dyDescent="0.2">
      <c r="A39" s="51" t="s">
        <v>91</v>
      </c>
      <c r="B39" s="36" t="s">
        <v>190</v>
      </c>
      <c r="C39" s="50"/>
      <c r="D39" s="50" t="s">
        <v>196</v>
      </c>
      <c r="E39" s="50"/>
      <c r="F39" s="50"/>
      <c r="G39" s="105">
        <f ca="1">IF(G15="Peak",LOOKUP(B39,INDIRECT("'"&amp;C15&amp;"Baseline'!b44:b47"),INDIRECT("'"&amp;C15&amp;"Baseline'!I44:i47")),IF(G15="Average",LOOKUP(B39,INDIRECT("'"&amp;C15&amp;"Baseline'!b44:b47"),INDIRECT("'"&amp;C15&amp;"Baseline'!J44:J47")),0))</f>
        <v>6.8999999999999999E-3</v>
      </c>
      <c r="H39" s="55" t="str">
        <f>G15</f>
        <v>Peak</v>
      </c>
    </row>
    <row r="40" spans="1:16" ht="15.75" x14ac:dyDescent="0.25">
      <c r="A40" s="50" t="s">
        <v>180</v>
      </c>
      <c r="B40" s="50" t="s">
        <v>179</v>
      </c>
      <c r="C40" s="50"/>
      <c r="D40" s="50" t="s">
        <v>171</v>
      </c>
      <c r="E40" s="50"/>
      <c r="F40" s="50"/>
      <c r="G40" s="105">
        <f ca="1">LOOKUP(B39,INDIRECT("'"&amp;C15&amp;"Baseline'!b44:b47"),INDIRECT("'"&amp;C15&amp;"Baseline'!K44:K47"))</f>
        <v>52.99</v>
      </c>
      <c r="H40" s="55"/>
      <c r="P40" s="100"/>
    </row>
    <row r="41" spans="1:16" s="161" customFormat="1" ht="15.75" x14ac:dyDescent="0.25">
      <c r="A41" s="162"/>
      <c r="B41" s="162"/>
      <c r="C41" s="162"/>
      <c r="D41" s="162"/>
      <c r="E41" s="162"/>
      <c r="F41" s="162"/>
      <c r="G41" s="168"/>
      <c r="H41" s="163"/>
      <c r="P41" s="167"/>
    </row>
    <row r="42" spans="1:16" x14ac:dyDescent="0.2">
      <c r="A42" s="51"/>
      <c r="B42" s="50"/>
      <c r="C42" s="50"/>
      <c r="D42" s="50"/>
      <c r="E42" s="50"/>
      <c r="F42" s="50"/>
      <c r="G42" s="50"/>
      <c r="H42" s="55"/>
      <c r="K42" s="50"/>
    </row>
    <row r="43" spans="1:16" ht="18" x14ac:dyDescent="0.25">
      <c r="A43" s="51"/>
      <c r="B43" s="164" t="s">
        <v>202</v>
      </c>
      <c r="C43" s="150"/>
      <c r="D43" s="88"/>
      <c r="E43" s="165">
        <f ca="1">ROUNDUP((ROUNDUP(NUMWC*CONWC,0)*SDR_DT_Thin*CPU_SCALE/PEAKCPUMEM),1)</f>
        <v>16.600000000000001</v>
      </c>
      <c r="F43" s="50"/>
      <c r="G43" s="102"/>
      <c r="H43" s="39"/>
      <c r="K43" s="102"/>
    </row>
    <row r="44" spans="1:16" ht="18" x14ac:dyDescent="0.25">
      <c r="A44" s="51"/>
      <c r="B44" s="156" t="s">
        <v>201</v>
      </c>
      <c r="C44" s="150"/>
      <c r="D44" s="88"/>
      <c r="E44" s="166">
        <f ca="1">ROUNDUP((ROUNDUP(NUMWC*CONWC,0)*MEM_DT_Thin*MEM_SCALE/(PEAKCPUMEM*1024)),1)</f>
        <v>124.19999999999999</v>
      </c>
      <c r="F44" s="50" t="s">
        <v>96</v>
      </c>
      <c r="G44" s="50"/>
      <c r="H44" s="103"/>
    </row>
    <row r="45" spans="1:16" ht="15.75" x14ac:dyDescent="0.25">
      <c r="A45" s="120"/>
      <c r="B45" s="90"/>
      <c r="C45" s="98"/>
      <c r="D45" s="97"/>
      <c r="E45" s="97"/>
      <c r="F45" s="97"/>
      <c r="G45" s="98"/>
      <c r="H45" s="99"/>
    </row>
    <row r="46" spans="1:16" ht="15.75" x14ac:dyDescent="0.25">
      <c r="A46" s="105"/>
      <c r="B46" s="85"/>
      <c r="C46" s="102"/>
      <c r="D46" s="106"/>
      <c r="E46" s="106"/>
      <c r="F46" s="106"/>
      <c r="G46" s="102"/>
      <c r="H46" s="106"/>
    </row>
    <row r="47" spans="1:16" ht="15.75" x14ac:dyDescent="0.25">
      <c r="A47" s="208" t="s">
        <v>106</v>
      </c>
      <c r="B47" s="209"/>
      <c r="C47" s="209"/>
      <c r="D47" s="209"/>
      <c r="E47" s="209"/>
      <c r="F47" s="209"/>
      <c r="G47" s="209"/>
      <c r="H47" s="210"/>
      <c r="L47" s="148" t="s">
        <v>107</v>
      </c>
    </row>
    <row r="48" spans="1:16" ht="15.75" x14ac:dyDescent="0.25">
      <c r="A48" s="51" t="s">
        <v>91</v>
      </c>
      <c r="B48" s="160" t="s">
        <v>190</v>
      </c>
      <c r="C48" s="86"/>
      <c r="D48" s="50" t="s">
        <v>196</v>
      </c>
      <c r="E48" s="50"/>
      <c r="F48" s="50"/>
      <c r="G48" s="168">
        <f ca="1">IF(G15="Peak",LOOKUP(B48,INDIRECT("'"&amp;C15&amp;"Baseline'!b44:b47"),INDIRECT("'"&amp;C15&amp;"Baseline'!L44:L47")),IF(G15="Average",LOOKUP(B48,INDIRECT("'"&amp;C15&amp;"Baseline'!b44:b47"),INDIRECT("'"&amp;C15&amp;"Baseline'!M44:M47")),0))</f>
        <v>5.7000000000000002E-3</v>
      </c>
      <c r="H48" s="144" t="str">
        <f>G15</f>
        <v>Peak</v>
      </c>
      <c r="J48" s="211" t="s">
        <v>109</v>
      </c>
      <c r="K48" s="212"/>
      <c r="L48" s="212"/>
      <c r="M48" s="213"/>
    </row>
    <row r="49" spans="1:13" x14ac:dyDescent="0.2">
      <c r="A49" s="51"/>
      <c r="B49" s="50"/>
      <c r="C49" s="50"/>
      <c r="D49" s="50" t="s">
        <v>171</v>
      </c>
      <c r="E49" s="69"/>
      <c r="F49" s="69"/>
      <c r="G49" s="105">
        <f ca="1">LOOKUP(B39,INDIRECT("'"&amp;C15&amp;"Baseline'!b44:b47"),INDIRECT("'"&amp;C15&amp;"Baseline'!N44:N47"))</f>
        <v>14.89</v>
      </c>
      <c r="H49" s="55"/>
      <c r="J49" s="76" t="s">
        <v>111</v>
      </c>
      <c r="K49" s="107">
        <v>250000</v>
      </c>
      <c r="L49" s="77"/>
      <c r="M49" s="78"/>
    </row>
    <row r="50" spans="1:13" x14ac:dyDescent="0.2">
      <c r="A50" s="51"/>
      <c r="C50" s="50"/>
      <c r="D50" s="50"/>
      <c r="E50" s="69"/>
      <c r="F50" s="69"/>
      <c r="G50" s="50"/>
      <c r="H50" s="55"/>
      <c r="J50" s="76" t="s">
        <v>113</v>
      </c>
      <c r="K50" s="77">
        <v>50000</v>
      </c>
      <c r="L50" s="77"/>
      <c r="M50" s="78"/>
    </row>
    <row r="51" spans="1:13" ht="18" x14ac:dyDescent="0.25">
      <c r="A51" s="108"/>
      <c r="B51" s="164" t="s">
        <v>202</v>
      </c>
      <c r="C51" s="150"/>
      <c r="D51" s="88"/>
      <c r="E51" s="165">
        <f ca="1">ROUNDUP((ROUNDUP(NUMWC*CONWC,0)*SDR_FT_Thin*CPU_SCALE/PEAKCPUMEM),1)</f>
        <v>13.7</v>
      </c>
      <c r="G51" s="50"/>
      <c r="H51" s="55"/>
      <c r="J51" s="82" t="s">
        <v>114</v>
      </c>
      <c r="K51" s="83">
        <v>50000</v>
      </c>
      <c r="L51" s="83"/>
      <c r="M51" s="101"/>
    </row>
    <row r="52" spans="1:13" ht="18" x14ac:dyDescent="0.25">
      <c r="A52" s="108"/>
      <c r="B52" s="164" t="s">
        <v>201</v>
      </c>
      <c r="C52" s="150"/>
      <c r="D52" s="88"/>
      <c r="E52" s="165">
        <f ca="1">ROUNDUP((ROUNDUP(NUMWC*CONWC,0)*MEM_FT_Thin*MEM_SCALE/(PEAKCPUMEM*1024)),1)</f>
        <v>34.9</v>
      </c>
      <c r="F52" s="50" t="s">
        <v>96</v>
      </c>
      <c r="G52" s="50"/>
      <c r="H52" s="55"/>
      <c r="K52" s="50"/>
    </row>
    <row r="53" spans="1:13" ht="15.75" x14ac:dyDescent="0.25">
      <c r="A53" s="104"/>
      <c r="B53" s="149"/>
      <c r="C53" s="90"/>
      <c r="D53" s="149"/>
      <c r="E53" s="110"/>
      <c r="F53" s="97"/>
      <c r="G53" s="149"/>
      <c r="H53" s="64"/>
      <c r="K53" s="50"/>
    </row>
    <row r="54" spans="1:13" ht="15.75" x14ac:dyDescent="0.25">
      <c r="A54" s="91"/>
      <c r="B54" s="91"/>
      <c r="C54" s="111"/>
      <c r="D54" s="112"/>
      <c r="F54" s="41"/>
      <c r="K54" s="50"/>
    </row>
    <row r="55" spans="1:13" x14ac:dyDescent="0.2">
      <c r="A55" s="91" t="s">
        <v>116</v>
      </c>
      <c r="B55" s="214" t="s">
        <v>117</v>
      </c>
      <c r="C55" s="215"/>
      <c r="D55" s="215"/>
      <c r="E55" s="215"/>
      <c r="F55" s="215"/>
      <c r="G55" s="215"/>
      <c r="H55" s="216"/>
      <c r="K55" s="50"/>
    </row>
    <row r="56" spans="1:13" x14ac:dyDescent="0.2">
      <c r="A56" s="91" t="s">
        <v>118</v>
      </c>
      <c r="B56" s="214"/>
      <c r="C56" s="215"/>
      <c r="D56" s="216"/>
      <c r="E56" s="113"/>
      <c r="F56" s="114" t="s">
        <v>119</v>
      </c>
      <c r="G56" s="206"/>
      <c r="H56" s="207"/>
      <c r="K56" s="50"/>
    </row>
    <row r="57" spans="1:13" x14ac:dyDescent="0.2">
      <c r="A57" s="115" t="s">
        <v>120</v>
      </c>
      <c r="B57" s="203"/>
      <c r="C57" s="204"/>
      <c r="D57" s="205"/>
      <c r="E57" s="116"/>
      <c r="F57" s="117" t="s">
        <v>119</v>
      </c>
      <c r="G57" s="206"/>
      <c r="H57" s="207"/>
    </row>
  </sheetData>
  <mergeCells count="14">
    <mergeCell ref="B57:D57"/>
    <mergeCell ref="G57:H57"/>
    <mergeCell ref="A38:H38"/>
    <mergeCell ref="A47:H47"/>
    <mergeCell ref="J48:M48"/>
    <mergeCell ref="B55:H55"/>
    <mergeCell ref="B56:D56"/>
    <mergeCell ref="G56:H56"/>
    <mergeCell ref="A31:H31"/>
    <mergeCell ref="A1:H1"/>
    <mergeCell ref="A14:H14"/>
    <mergeCell ref="G17:H17"/>
    <mergeCell ref="J18:M18"/>
    <mergeCell ref="A23:H23"/>
  </mergeCells>
  <phoneticPr fontId="23" type="noConversion"/>
  <dataValidations count="6">
    <dataValidation type="list" allowBlank="1" showInputMessage="1" showErrorMessage="1" sqref="B33">
      <formula1>$K$32:$L$32</formula1>
    </dataValidation>
    <dataValidation type="list" allowBlank="1" showInputMessage="1" showErrorMessage="1" sqref="N26">
      <formula1>$S$14:$S$16</formula1>
    </dataValidation>
    <dataValidation type="list" allowBlank="1" showInputMessage="1" showErrorMessage="1" sqref="C15">
      <formula1>$C$3:$E$3</formula1>
    </dataValidation>
    <dataValidation type="list" allowBlank="1" showInputMessage="1" showErrorMessage="1" sqref="G15">
      <formula1>$C$7:$C$8</formula1>
    </dataValidation>
    <dataValidation type="list" allowBlank="1" showInputMessage="1" showErrorMessage="1" sqref="B39 B24 B32 B48">
      <formula1>$C$4:$H$4</formula1>
    </dataValidation>
    <dataValidation type="list" allowBlank="1" showInputMessage="1" showErrorMessage="1" sqref="B40:B41">
      <formula1>$C$5</formula1>
    </dataValidation>
  </dataValidations>
  <printOptions horizontalCentered="1" verticalCentered="1"/>
  <pageMargins left="0.2" right="0.2" top="0.25" bottom="0.25" header="0.05" footer="0.05"/>
  <pageSetup scale="85"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workbookViewId="0">
      <selection activeCell="E37" sqref="E37"/>
    </sheetView>
  </sheetViews>
  <sheetFormatPr defaultRowHeight="15.75" x14ac:dyDescent="0.25"/>
  <cols>
    <col min="1" max="1" width="17.85546875" bestFit="1" customWidth="1"/>
    <col min="2" max="3" width="10.85546875" bestFit="1" customWidth="1"/>
    <col min="4" max="4" width="11.140625" bestFit="1" customWidth="1"/>
    <col min="5" max="6" width="10.85546875" bestFit="1" customWidth="1"/>
    <col min="7" max="7" width="11.140625" bestFit="1" customWidth="1"/>
    <col min="8" max="9" width="10.85546875" bestFit="1" customWidth="1"/>
    <col min="10" max="10" width="11.140625" bestFit="1" customWidth="1"/>
    <col min="11" max="11" width="9.5703125" bestFit="1" customWidth="1"/>
    <col min="12" max="12" width="10.85546875" bestFit="1" customWidth="1"/>
    <col min="13" max="13" width="11.140625" bestFit="1" customWidth="1"/>
    <col min="14" max="14" width="9.5703125" bestFit="1" customWidth="1"/>
    <col min="15" max="15" width="10.85546875" bestFit="1" customWidth="1"/>
    <col min="16" max="16" width="11.140625" bestFit="1" customWidth="1"/>
  </cols>
  <sheetData>
    <row r="1" spans="1:16" x14ac:dyDescent="0.25">
      <c r="B1" s="222"/>
      <c r="C1" s="222"/>
      <c r="D1" s="222"/>
      <c r="E1" s="222"/>
      <c r="F1" s="222"/>
      <c r="G1" s="222"/>
      <c r="H1" s="222"/>
      <c r="I1" s="222"/>
      <c r="J1" s="222"/>
      <c r="K1" s="222"/>
      <c r="L1" s="222"/>
      <c r="M1" s="222"/>
      <c r="N1" s="222"/>
      <c r="O1" s="222"/>
      <c r="P1" s="222"/>
    </row>
    <row r="2" spans="1:16" ht="18" customHeight="1" x14ac:dyDescent="0.25">
      <c r="A2" s="230" t="s">
        <v>30</v>
      </c>
      <c r="B2" s="230"/>
      <c r="C2" s="230"/>
      <c r="D2" s="230"/>
      <c r="E2" s="230"/>
      <c r="F2" s="230"/>
      <c r="G2" s="230"/>
      <c r="H2" s="230"/>
      <c r="I2" s="230"/>
      <c r="J2" s="230"/>
      <c r="K2" s="230"/>
      <c r="L2" s="230"/>
      <c r="M2" s="230"/>
    </row>
    <row r="3" spans="1:16" x14ac:dyDescent="0.25">
      <c r="A3" t="s">
        <v>215</v>
      </c>
      <c r="B3" s="18" t="s">
        <v>216</v>
      </c>
      <c r="C3" s="18"/>
      <c r="D3" s="18"/>
      <c r="E3" s="18"/>
      <c r="F3" s="18"/>
      <c r="G3" s="18"/>
    </row>
    <row r="6" spans="1:16" x14ac:dyDescent="0.25">
      <c r="A6" s="19"/>
      <c r="B6" s="223" t="s">
        <v>31</v>
      </c>
      <c r="C6" s="223"/>
      <c r="D6" s="223"/>
      <c r="E6" s="223"/>
      <c r="F6" s="223"/>
      <c r="G6" s="223"/>
      <c r="H6" s="223"/>
      <c r="I6" s="223"/>
      <c r="J6" s="223"/>
      <c r="K6" s="223"/>
      <c r="L6" s="223"/>
      <c r="M6" s="224"/>
    </row>
    <row r="7" spans="1:16" x14ac:dyDescent="0.25">
      <c r="A7" s="20"/>
      <c r="B7" s="21"/>
      <c r="C7" s="21"/>
      <c r="D7" s="21"/>
      <c r="E7" s="21"/>
      <c r="F7" s="21"/>
      <c r="G7" s="21"/>
      <c r="H7" s="21"/>
      <c r="I7" s="21"/>
      <c r="J7" s="21"/>
      <c r="K7" s="21"/>
      <c r="L7" s="21"/>
      <c r="M7" s="22"/>
    </row>
    <row r="8" spans="1:16" x14ac:dyDescent="0.25">
      <c r="A8" s="20"/>
      <c r="B8" s="225" t="s">
        <v>32</v>
      </c>
      <c r="C8" s="225"/>
      <c r="D8" s="225"/>
      <c r="E8" s="226" t="s">
        <v>33</v>
      </c>
      <c r="F8" s="226"/>
      <c r="G8" s="226"/>
      <c r="H8" s="227" t="s">
        <v>34</v>
      </c>
      <c r="I8" s="227"/>
      <c r="J8" s="227"/>
      <c r="K8" s="228" t="s">
        <v>35</v>
      </c>
      <c r="L8" s="228"/>
      <c r="M8" s="229"/>
    </row>
    <row r="9" spans="1:16" x14ac:dyDescent="0.25">
      <c r="A9" s="20"/>
      <c r="B9" s="23" t="s">
        <v>36</v>
      </c>
      <c r="C9" s="23" t="s">
        <v>37</v>
      </c>
      <c r="D9" s="23" t="s">
        <v>38</v>
      </c>
      <c r="E9" s="24" t="s">
        <v>36</v>
      </c>
      <c r="F9" s="24" t="s">
        <v>37</v>
      </c>
      <c r="G9" s="24" t="s">
        <v>38</v>
      </c>
      <c r="H9" s="25" t="s">
        <v>36</v>
      </c>
      <c r="I9" s="25" t="s">
        <v>37</v>
      </c>
      <c r="J9" s="25" t="s">
        <v>38</v>
      </c>
      <c r="K9" s="26" t="s">
        <v>36</v>
      </c>
      <c r="L9" s="26" t="s">
        <v>37</v>
      </c>
      <c r="M9" s="27" t="s">
        <v>38</v>
      </c>
    </row>
    <row r="10" spans="1:16" x14ac:dyDescent="0.25">
      <c r="A10" s="20" t="s">
        <v>39</v>
      </c>
      <c r="B10" s="127">
        <v>0.20807999999999999</v>
      </c>
      <c r="C10" s="127">
        <v>6.7059999999999995E-2</v>
      </c>
      <c r="D10" s="23">
        <v>58.2</v>
      </c>
      <c r="E10" s="123">
        <v>0.01</v>
      </c>
      <c r="F10" s="123">
        <v>3.8999999999999998E-3</v>
      </c>
      <c r="G10" s="24">
        <v>1.43</v>
      </c>
      <c r="H10" s="125">
        <v>4.0280000000000003E-2</v>
      </c>
      <c r="I10" s="125">
        <v>1.635E-2</v>
      </c>
      <c r="J10" s="129">
        <v>16.21</v>
      </c>
      <c r="K10" s="26" t="s">
        <v>40</v>
      </c>
      <c r="L10" s="26" t="s">
        <v>40</v>
      </c>
      <c r="M10" s="27" t="s">
        <v>41</v>
      </c>
    </row>
    <row r="11" spans="1:16" x14ac:dyDescent="0.25">
      <c r="A11" s="20" t="s">
        <v>42</v>
      </c>
      <c r="B11" s="127">
        <v>0.20374999999999999</v>
      </c>
      <c r="C11" s="127">
        <v>7.4910000000000004E-2</v>
      </c>
      <c r="D11" s="23">
        <v>59.6</v>
      </c>
      <c r="E11" s="123">
        <v>1.7000000000000001E-2</v>
      </c>
      <c r="F11" s="123">
        <v>3.0000000000000001E-3</v>
      </c>
      <c r="G11" s="24">
        <v>5.13</v>
      </c>
      <c r="H11" s="125">
        <v>8.4000000000000005E-2</v>
      </c>
      <c r="I11" s="125">
        <v>2.4E-2</v>
      </c>
      <c r="J11" s="129">
        <v>6.52</v>
      </c>
      <c r="K11" s="26" t="s">
        <v>40</v>
      </c>
      <c r="L11" s="26" t="s">
        <v>40</v>
      </c>
      <c r="M11" s="27" t="s">
        <v>41</v>
      </c>
    </row>
    <row r="12" spans="1:16" x14ac:dyDescent="0.25">
      <c r="A12" s="20" t="s">
        <v>43</v>
      </c>
      <c r="B12" s="127">
        <v>4.2430000000000002E-2</v>
      </c>
      <c r="C12" s="127">
        <v>1.498E-2</v>
      </c>
      <c r="D12" s="23">
        <v>52.2</v>
      </c>
      <c r="E12" s="123">
        <v>1.2999999999999999E-3</v>
      </c>
      <c r="F12" s="123">
        <v>8.0000000000000004E-4</v>
      </c>
      <c r="G12" s="24">
        <v>1.1299999999999999</v>
      </c>
      <c r="H12" s="125">
        <v>1.337E-2</v>
      </c>
      <c r="I12" s="125">
        <v>4.79E-3</v>
      </c>
      <c r="J12" s="129">
        <v>5.468</v>
      </c>
      <c r="K12" s="26" t="s">
        <v>40</v>
      </c>
      <c r="L12" s="26" t="s">
        <v>40</v>
      </c>
      <c r="M12" s="27" t="s">
        <v>41</v>
      </c>
    </row>
    <row r="13" spans="1:16" x14ac:dyDescent="0.25">
      <c r="A13" s="20" t="s">
        <v>44</v>
      </c>
      <c r="B13" s="127">
        <v>0.1358</v>
      </c>
      <c r="C13" s="127">
        <v>7.3969999999999994E-2</v>
      </c>
      <c r="D13" s="23">
        <v>60.7</v>
      </c>
      <c r="E13" s="123">
        <v>4.7999999999999996E-3</v>
      </c>
      <c r="F13" s="123">
        <v>3.0999999999999999E-3</v>
      </c>
      <c r="G13" s="24">
        <v>2.06</v>
      </c>
      <c r="H13" s="125">
        <v>3.0419999999999999E-2</v>
      </c>
      <c r="I13" s="125">
        <v>1.357E-2</v>
      </c>
      <c r="J13" s="129">
        <v>7.8449999999999998</v>
      </c>
      <c r="K13" s="26" t="s">
        <v>40</v>
      </c>
      <c r="L13" s="26" t="s">
        <v>40</v>
      </c>
      <c r="M13" s="27" t="s">
        <v>41</v>
      </c>
    </row>
    <row r="14" spans="1:16" x14ac:dyDescent="0.25">
      <c r="A14" s="28" t="s">
        <v>45</v>
      </c>
      <c r="B14" s="128">
        <v>0.15009</v>
      </c>
      <c r="C14" s="128">
        <v>6.6470000000000001E-2</v>
      </c>
      <c r="D14" s="29">
        <v>39.799999999999997</v>
      </c>
      <c r="E14" s="124">
        <v>1.5299999999999999E-2</v>
      </c>
      <c r="F14" s="124">
        <v>5.8999999999999999E-3</v>
      </c>
      <c r="G14" s="191">
        <v>0.14000000000000001</v>
      </c>
      <c r="H14" s="126">
        <v>3.4160000000000003E-2</v>
      </c>
      <c r="I14" s="126">
        <v>1.264E-2</v>
      </c>
      <c r="J14" s="130">
        <v>2.7</v>
      </c>
      <c r="K14" s="30">
        <v>8.0799999999999997E-2</v>
      </c>
      <c r="L14" s="30">
        <v>3.0599999999999999E-2</v>
      </c>
      <c r="M14" s="192">
        <v>5</v>
      </c>
    </row>
    <row r="15" spans="1:16" x14ac:dyDescent="0.25">
      <c r="A15" s="119"/>
    </row>
    <row r="18" spans="1:10" x14ac:dyDescent="0.25">
      <c r="A18" t="s">
        <v>142</v>
      </c>
    </row>
    <row r="19" spans="1:10" x14ac:dyDescent="0.25">
      <c r="A19" s="32" t="s">
        <v>39</v>
      </c>
      <c r="B19" t="s">
        <v>143</v>
      </c>
      <c r="J19" t="s">
        <v>145</v>
      </c>
    </row>
    <row r="20" spans="1:10" x14ac:dyDescent="0.25">
      <c r="A20" s="32" t="s">
        <v>42</v>
      </c>
    </row>
    <row r="21" spans="1:10" x14ac:dyDescent="0.25">
      <c r="A21" s="32" t="s">
        <v>43</v>
      </c>
    </row>
    <row r="22" spans="1:10" x14ac:dyDescent="0.25">
      <c r="A22" s="32" t="s">
        <v>44</v>
      </c>
    </row>
    <row r="23" spans="1:10" x14ac:dyDescent="0.25">
      <c r="A23" s="32" t="s">
        <v>45</v>
      </c>
    </row>
    <row r="25" spans="1:10" x14ac:dyDescent="0.25">
      <c r="A25" t="s">
        <v>46</v>
      </c>
      <c r="B25" t="s">
        <v>47</v>
      </c>
      <c r="C25" t="s">
        <v>48</v>
      </c>
    </row>
    <row r="26" spans="1:10" x14ac:dyDescent="0.25">
      <c r="A26" s="31" t="s">
        <v>49</v>
      </c>
      <c r="B26">
        <v>32</v>
      </c>
      <c r="C26">
        <v>64</v>
      </c>
    </row>
    <row r="27" spans="1:10" x14ac:dyDescent="0.25">
      <c r="A27" s="31" t="s">
        <v>50</v>
      </c>
      <c r="B27">
        <v>16</v>
      </c>
      <c r="C27">
        <v>32</v>
      </c>
    </row>
    <row r="28" spans="1:10" x14ac:dyDescent="0.25">
      <c r="A28" s="31" t="s">
        <v>51</v>
      </c>
      <c r="B28">
        <v>8</v>
      </c>
      <c r="C28">
        <v>8</v>
      </c>
    </row>
  </sheetData>
  <mergeCells count="11">
    <mergeCell ref="N1:P1"/>
    <mergeCell ref="B6:M6"/>
    <mergeCell ref="B8:D8"/>
    <mergeCell ref="E8:G8"/>
    <mergeCell ref="H8:J8"/>
    <mergeCell ref="K8:M8"/>
    <mergeCell ref="A2:M2"/>
    <mergeCell ref="B1:D1"/>
    <mergeCell ref="E1:G1"/>
    <mergeCell ref="H1:J1"/>
    <mergeCell ref="K1:M1"/>
  </mergeCells>
  <phoneticPr fontId="23"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H17" sqref="H17:I17"/>
    </sheetView>
  </sheetViews>
  <sheetFormatPr defaultColWidth="9.140625" defaultRowHeight="15.75" x14ac:dyDescent="0.25"/>
  <cols>
    <col min="1" max="1" width="12.7109375" style="132" bestFit="1" customWidth="1"/>
    <col min="2" max="2" width="30.42578125" style="132" customWidth="1"/>
    <col min="3" max="3" width="13" style="132" customWidth="1"/>
    <col min="4" max="4" width="11.5703125" style="132" customWidth="1"/>
    <col min="5" max="5" width="12" style="132" customWidth="1"/>
    <col min="6" max="6" width="11.42578125" style="132" customWidth="1"/>
    <col min="7" max="10" width="13.5703125" style="132" customWidth="1"/>
    <col min="11" max="13" width="9.140625" style="132"/>
    <col min="14" max="14" width="14.5703125" style="132" customWidth="1"/>
    <col min="15" max="16384" width="9.140625" style="132"/>
  </cols>
  <sheetData>
    <row r="1" spans="1:13" x14ac:dyDescent="0.25">
      <c r="B1" s="133" t="s">
        <v>30</v>
      </c>
      <c r="C1" s="133"/>
      <c r="D1" s="133"/>
    </row>
    <row r="2" spans="1:13" x14ac:dyDescent="0.25">
      <c r="A2" s="132" t="s">
        <v>151</v>
      </c>
      <c r="B2" s="134" t="s">
        <v>218</v>
      </c>
      <c r="C2" s="185"/>
      <c r="D2" s="187" t="s">
        <v>213</v>
      </c>
      <c r="E2" s="186"/>
    </row>
    <row r="3" spans="1:13" ht="12" customHeight="1" x14ac:dyDescent="0.25">
      <c r="C3" s="189" t="s">
        <v>219</v>
      </c>
    </row>
    <row r="4" spans="1:13" x14ac:dyDescent="0.25">
      <c r="B4" s="231" t="s">
        <v>152</v>
      </c>
      <c r="C4" s="233" t="s">
        <v>87</v>
      </c>
      <c r="D4" s="233"/>
      <c r="E4" s="233"/>
      <c r="F4" s="233"/>
      <c r="J4" s="145"/>
      <c r="K4" s="145"/>
      <c r="L4" s="145"/>
      <c r="M4" s="145"/>
    </row>
    <row r="5" spans="1:13" x14ac:dyDescent="0.25">
      <c r="B5" s="232"/>
      <c r="C5" s="136" t="s">
        <v>153</v>
      </c>
      <c r="D5" s="136" t="s">
        <v>154</v>
      </c>
      <c r="E5" s="136" t="s">
        <v>38</v>
      </c>
      <c r="F5" s="136" t="s">
        <v>155</v>
      </c>
      <c r="J5" s="145"/>
      <c r="K5" s="145"/>
      <c r="L5" s="145"/>
      <c r="M5" s="145"/>
    </row>
    <row r="6" spans="1:13" x14ac:dyDescent="0.25">
      <c r="B6" s="136" t="s">
        <v>176</v>
      </c>
      <c r="C6" s="137">
        <v>4.2999999999999997E-2</v>
      </c>
      <c r="D6" s="137">
        <v>6.0000000000000001E-3</v>
      </c>
      <c r="E6" s="183">
        <v>0.4</v>
      </c>
      <c r="F6" s="136" t="s">
        <v>40</v>
      </c>
      <c r="J6" s="145"/>
      <c r="K6" s="145"/>
      <c r="L6" s="145"/>
      <c r="M6" s="145"/>
    </row>
    <row r="7" spans="1:13" x14ac:dyDescent="0.25">
      <c r="B7" s="136" t="s">
        <v>175</v>
      </c>
      <c r="C7" s="137">
        <v>2.9000000000000001E-2</v>
      </c>
      <c r="D7" s="137">
        <v>3.0000000000000001E-3</v>
      </c>
      <c r="E7" s="137">
        <v>2.08</v>
      </c>
      <c r="F7" s="136" t="s">
        <v>40</v>
      </c>
      <c r="J7" s="145"/>
      <c r="K7" s="145"/>
      <c r="L7" s="145"/>
      <c r="M7" s="145"/>
    </row>
    <row r="8" spans="1:13" x14ac:dyDescent="0.25">
      <c r="B8" s="136" t="s">
        <v>174</v>
      </c>
      <c r="C8" s="137">
        <v>3.9E-2</v>
      </c>
      <c r="D8" s="137">
        <v>2E-3</v>
      </c>
      <c r="E8" s="137">
        <v>2.46</v>
      </c>
      <c r="F8" s="137">
        <v>1.59</v>
      </c>
      <c r="J8" s="145"/>
      <c r="K8" s="145"/>
      <c r="L8" s="145"/>
      <c r="M8" s="145"/>
    </row>
    <row r="9" spans="1:13" x14ac:dyDescent="0.25">
      <c r="B9" s="136" t="s">
        <v>173</v>
      </c>
      <c r="C9" s="137">
        <v>1.6E-2</v>
      </c>
      <c r="D9" s="137">
        <v>6.0000000000000001E-3</v>
      </c>
      <c r="E9" s="137">
        <v>2.35</v>
      </c>
      <c r="F9" s="136" t="s">
        <v>40</v>
      </c>
      <c r="J9" s="145"/>
      <c r="K9" s="145"/>
      <c r="L9" s="145"/>
      <c r="M9" s="145"/>
    </row>
    <row r="11" spans="1:13" x14ac:dyDescent="0.25">
      <c r="B11" s="231" t="s">
        <v>156</v>
      </c>
      <c r="C11" s="233" t="s">
        <v>87</v>
      </c>
      <c r="D11" s="233"/>
      <c r="E11" s="233"/>
      <c r="F11" s="233"/>
      <c r="G11" s="233" t="s">
        <v>157</v>
      </c>
      <c r="H11" s="233"/>
      <c r="I11" s="233"/>
      <c r="J11" s="233"/>
    </row>
    <row r="12" spans="1:13" x14ac:dyDescent="0.25">
      <c r="B12" s="232"/>
      <c r="C12" s="136" t="s">
        <v>153</v>
      </c>
      <c r="D12" s="136" t="s">
        <v>154</v>
      </c>
      <c r="E12" s="136" t="s">
        <v>38</v>
      </c>
      <c r="F12" s="136" t="s">
        <v>155</v>
      </c>
      <c r="G12" s="136" t="s">
        <v>153</v>
      </c>
      <c r="H12" s="136" t="s">
        <v>154</v>
      </c>
      <c r="I12" s="136" t="s">
        <v>38</v>
      </c>
      <c r="J12" s="136" t="s">
        <v>155</v>
      </c>
    </row>
    <row r="13" spans="1:13" x14ac:dyDescent="0.25">
      <c r="B13" s="136" t="s">
        <v>158</v>
      </c>
      <c r="C13" s="137">
        <v>0.221</v>
      </c>
      <c r="D13" s="137">
        <v>6.8000000000000005E-2</v>
      </c>
      <c r="E13" s="137">
        <v>60.2</v>
      </c>
      <c r="F13" s="137">
        <v>0.66</v>
      </c>
      <c r="G13" s="188">
        <v>0.20399999999999999</v>
      </c>
      <c r="H13" s="188">
        <v>0.04</v>
      </c>
      <c r="I13" s="188">
        <v>77.2</v>
      </c>
      <c r="J13" s="188">
        <v>0.75</v>
      </c>
      <c r="K13" s="132" t="s">
        <v>228</v>
      </c>
    </row>
    <row r="14" spans="1:13" x14ac:dyDescent="0.25">
      <c r="B14" s="136" t="s">
        <v>166</v>
      </c>
      <c r="C14" s="137">
        <v>0.23400000000000001</v>
      </c>
      <c r="D14" s="137">
        <v>7.3999999999999996E-2</v>
      </c>
      <c r="E14" s="137">
        <v>63.7</v>
      </c>
      <c r="F14" s="137">
        <v>0.7</v>
      </c>
      <c r="G14" s="188">
        <v>0.20399999999999999</v>
      </c>
      <c r="H14" s="188">
        <v>0.04</v>
      </c>
      <c r="I14" s="188">
        <v>79.3</v>
      </c>
      <c r="J14" s="188">
        <v>0.76</v>
      </c>
      <c r="K14" s="132" t="s">
        <v>221</v>
      </c>
    </row>
    <row r="15" spans="1:13" x14ac:dyDescent="0.25">
      <c r="B15" s="136" t="s">
        <v>159</v>
      </c>
      <c r="C15" s="137">
        <v>8.5000000000000006E-2</v>
      </c>
      <c r="D15" s="137">
        <v>0.02</v>
      </c>
      <c r="E15" s="137">
        <v>86.7</v>
      </c>
      <c r="F15" s="137">
        <v>148.5</v>
      </c>
      <c r="G15" s="188">
        <v>5.8000000000000003E-2</v>
      </c>
      <c r="H15" s="188">
        <v>1.0999999999999999E-2</v>
      </c>
      <c r="I15" s="188">
        <v>84.6</v>
      </c>
      <c r="J15" s="188">
        <v>149.4</v>
      </c>
      <c r="K15" s="132" t="s">
        <v>222</v>
      </c>
    </row>
    <row r="16" spans="1:13" x14ac:dyDescent="0.25">
      <c r="B16" s="136" t="s">
        <v>160</v>
      </c>
      <c r="C16" s="137">
        <v>0.125</v>
      </c>
      <c r="D16" s="137">
        <v>6.6000000000000003E-2</v>
      </c>
      <c r="E16" s="137">
        <v>56</v>
      </c>
      <c r="F16" s="137" t="s">
        <v>40</v>
      </c>
      <c r="G16" s="188">
        <v>5.7000000000000002E-2</v>
      </c>
      <c r="H16" s="188">
        <v>2.1999999999999999E-2</v>
      </c>
      <c r="I16" s="188">
        <v>57.8</v>
      </c>
      <c r="J16" s="137" t="s">
        <v>40</v>
      </c>
      <c r="K16" s="132" t="s">
        <v>225</v>
      </c>
    </row>
    <row r="17" spans="2:11" x14ac:dyDescent="0.25">
      <c r="B17" s="136" t="s">
        <v>161</v>
      </c>
      <c r="C17" s="137">
        <v>0.24299999999999999</v>
      </c>
      <c r="D17" s="183">
        <v>8.8999999999999996E-2</v>
      </c>
      <c r="E17" s="137">
        <v>52.4</v>
      </c>
      <c r="F17" s="137" t="s">
        <v>40</v>
      </c>
      <c r="G17" s="188">
        <v>0.23200000000000001</v>
      </c>
      <c r="H17" s="188">
        <v>5.0999999999999997E-2</v>
      </c>
      <c r="I17" s="188">
        <v>58.5</v>
      </c>
      <c r="J17" s="137" t="s">
        <v>40</v>
      </c>
      <c r="K17" s="132" t="s">
        <v>229</v>
      </c>
    </row>
    <row r="18" spans="2:11" x14ac:dyDescent="0.25">
      <c r="B18" s="136" t="s">
        <v>162</v>
      </c>
      <c r="C18" s="137">
        <v>0.24299999999999999</v>
      </c>
      <c r="D18" s="183">
        <v>8.8999999999999996E-2</v>
      </c>
      <c r="E18" s="137">
        <v>47.9</v>
      </c>
      <c r="F18" s="137" t="s">
        <v>40</v>
      </c>
      <c r="G18" s="188">
        <v>0.23200000000000001</v>
      </c>
      <c r="H18" s="188">
        <v>5.0999999999999997E-2</v>
      </c>
      <c r="I18" s="188">
        <v>50.4</v>
      </c>
      <c r="J18" s="137" t="s">
        <v>40</v>
      </c>
      <c r="K18" s="132" t="s">
        <v>223</v>
      </c>
    </row>
    <row r="20" spans="2:11" x14ac:dyDescent="0.25">
      <c r="B20" s="231" t="s">
        <v>163</v>
      </c>
      <c r="C20" s="233" t="s">
        <v>87</v>
      </c>
      <c r="D20" s="233"/>
      <c r="E20" s="233"/>
      <c r="F20" s="233"/>
      <c r="G20" s="233" t="s">
        <v>157</v>
      </c>
      <c r="H20" s="233"/>
      <c r="I20" s="233"/>
      <c r="J20" s="233"/>
    </row>
    <row r="21" spans="2:11" x14ac:dyDescent="0.25">
      <c r="B21" s="232"/>
      <c r="C21" s="136" t="s">
        <v>153</v>
      </c>
      <c r="D21" s="136" t="s">
        <v>154</v>
      </c>
      <c r="E21" s="136" t="s">
        <v>38</v>
      </c>
      <c r="F21" s="136" t="s">
        <v>155</v>
      </c>
      <c r="G21" s="136" t="s">
        <v>153</v>
      </c>
      <c r="H21" s="136" t="s">
        <v>154</v>
      </c>
      <c r="I21" s="136" t="s">
        <v>38</v>
      </c>
      <c r="J21" s="136" t="s">
        <v>155</v>
      </c>
    </row>
    <row r="22" spans="2:11" x14ac:dyDescent="0.25">
      <c r="B22" s="136" t="s">
        <v>158</v>
      </c>
      <c r="C22" s="137">
        <v>5.5E-2</v>
      </c>
      <c r="D22" s="137">
        <v>1.7000000000000001E-2</v>
      </c>
      <c r="E22" s="137">
        <v>5.8</v>
      </c>
      <c r="F22" s="137" t="s">
        <v>40</v>
      </c>
      <c r="G22" s="188">
        <v>3.7999999999999999E-2</v>
      </c>
      <c r="H22" s="188">
        <v>8.9999999999999993E-3</v>
      </c>
      <c r="I22" s="188">
        <v>6.2</v>
      </c>
      <c r="J22" s="137" t="s">
        <v>40</v>
      </c>
      <c r="K22" s="132" t="s">
        <v>220</v>
      </c>
    </row>
    <row r="23" spans="2:11" x14ac:dyDescent="0.25">
      <c r="B23" s="136" t="s">
        <v>166</v>
      </c>
      <c r="C23" s="137">
        <v>3.7999999999999999E-2</v>
      </c>
      <c r="D23" s="137">
        <v>1.4E-2</v>
      </c>
      <c r="E23" s="137">
        <v>19.600000000000001</v>
      </c>
      <c r="F23" s="137" t="s">
        <v>40</v>
      </c>
      <c r="G23" s="188">
        <v>3.2000000000000001E-2</v>
      </c>
      <c r="H23" s="188">
        <v>8.9999999999999993E-3</v>
      </c>
      <c r="I23" s="188">
        <v>19</v>
      </c>
      <c r="J23" s="137" t="s">
        <v>40</v>
      </c>
      <c r="K23" s="132" t="s">
        <v>221</v>
      </c>
    </row>
    <row r="24" spans="2:11" x14ac:dyDescent="0.25">
      <c r="B24" s="136" t="s">
        <v>159</v>
      </c>
      <c r="C24" s="137">
        <v>2.3E-2</v>
      </c>
      <c r="D24" s="137">
        <v>7.0000000000000001E-3</v>
      </c>
      <c r="E24" s="137">
        <v>7</v>
      </c>
      <c r="F24" s="137">
        <v>9.8000000000000007</v>
      </c>
      <c r="G24" s="188">
        <v>1.7999999999999999E-2</v>
      </c>
      <c r="H24" s="188">
        <v>7.0000000000000001E-3</v>
      </c>
      <c r="I24" s="188">
        <v>7.4</v>
      </c>
      <c r="J24" s="188">
        <v>10.6</v>
      </c>
      <c r="K24" s="132" t="s">
        <v>222</v>
      </c>
    </row>
    <row r="25" spans="2:11" x14ac:dyDescent="0.25">
      <c r="B25" s="136" t="s">
        <v>160</v>
      </c>
      <c r="C25" s="137">
        <v>0.03</v>
      </c>
      <c r="D25" s="137">
        <v>1.2E-2</v>
      </c>
      <c r="E25" s="137">
        <v>14.9</v>
      </c>
      <c r="F25" s="137" t="s">
        <v>40</v>
      </c>
      <c r="G25" s="188">
        <v>7.0000000000000001E-3</v>
      </c>
      <c r="H25" s="188">
        <v>3.0000000000000001E-3</v>
      </c>
      <c r="I25" s="188">
        <v>14.3</v>
      </c>
      <c r="J25" s="137" t="s">
        <v>40</v>
      </c>
      <c r="K25" s="132" t="s">
        <v>230</v>
      </c>
    </row>
    <row r="26" spans="2:11" x14ac:dyDescent="0.25">
      <c r="B26" s="136" t="s">
        <v>161</v>
      </c>
      <c r="C26" s="137">
        <v>4.5999999999999999E-2</v>
      </c>
      <c r="D26" s="137">
        <v>1.4999999999999999E-2</v>
      </c>
      <c r="E26" s="137">
        <v>2.9</v>
      </c>
      <c r="F26" s="137" t="s">
        <v>40</v>
      </c>
      <c r="G26" s="188">
        <v>4.4999999999999998E-2</v>
      </c>
      <c r="H26" s="188">
        <v>8.0000000000000002E-3</v>
      </c>
      <c r="I26" s="188">
        <v>2.9</v>
      </c>
      <c r="J26" s="137" t="s">
        <v>40</v>
      </c>
      <c r="K26" s="132" t="s">
        <v>224</v>
      </c>
    </row>
    <row r="27" spans="2:11" x14ac:dyDescent="0.25">
      <c r="B27" s="136" t="s">
        <v>162</v>
      </c>
      <c r="C27" s="137">
        <v>5.8000000000000003E-2</v>
      </c>
      <c r="D27" s="137">
        <v>3.3000000000000002E-2</v>
      </c>
      <c r="E27" s="183">
        <v>10.8</v>
      </c>
      <c r="F27" s="137" t="s">
        <v>40</v>
      </c>
      <c r="G27" s="188">
        <v>5.8000000000000003E-2</v>
      </c>
      <c r="H27" s="188">
        <v>1.2999999999999999E-2</v>
      </c>
      <c r="I27" s="188">
        <v>6.7</v>
      </c>
      <c r="J27" s="137" t="s">
        <v>40</v>
      </c>
      <c r="K27" s="132" t="s">
        <v>223</v>
      </c>
    </row>
    <row r="30" spans="2:11" ht="31.5" x14ac:dyDescent="0.25">
      <c r="B30" s="169" t="s">
        <v>46</v>
      </c>
      <c r="C30" s="139" t="s">
        <v>172</v>
      </c>
      <c r="D30" s="139" t="s">
        <v>183</v>
      </c>
      <c r="E30" s="136" t="s">
        <v>60</v>
      </c>
    </row>
    <row r="31" spans="2:11" x14ac:dyDescent="0.25">
      <c r="B31" s="140" t="s">
        <v>49</v>
      </c>
      <c r="C31" s="151">
        <v>64</v>
      </c>
      <c r="D31" s="147">
        <v>32</v>
      </c>
      <c r="E31" s="147">
        <v>64</v>
      </c>
    </row>
    <row r="32" spans="2:11" x14ac:dyDescent="0.25">
      <c r="B32" s="140" t="s">
        <v>50</v>
      </c>
      <c r="C32" s="151">
        <v>32</v>
      </c>
      <c r="D32" s="141">
        <v>16</v>
      </c>
      <c r="E32" s="141">
        <v>32</v>
      </c>
    </row>
    <row r="33" spans="2:5" x14ac:dyDescent="0.25">
      <c r="B33" s="140" t="s">
        <v>51</v>
      </c>
      <c r="C33" s="151">
        <v>8</v>
      </c>
      <c r="D33" s="141">
        <v>8</v>
      </c>
      <c r="E33" s="141">
        <v>8</v>
      </c>
    </row>
    <row r="35" spans="2:5" x14ac:dyDescent="0.25">
      <c r="B35" s="154" t="s">
        <v>187</v>
      </c>
      <c r="C35" s="139" t="s">
        <v>62</v>
      </c>
      <c r="D35" s="139" t="s">
        <v>188</v>
      </c>
    </row>
    <row r="36" spans="2:5" x14ac:dyDescent="0.25">
      <c r="B36" s="136" t="s">
        <v>39</v>
      </c>
      <c r="C36" s="136" t="s">
        <v>40</v>
      </c>
      <c r="D36" s="136" t="s">
        <v>40</v>
      </c>
    </row>
    <row r="37" spans="2:5" x14ac:dyDescent="0.25">
      <c r="B37" s="136" t="s">
        <v>43</v>
      </c>
      <c r="C37" s="136" t="s">
        <v>40</v>
      </c>
      <c r="D37" s="136" t="s">
        <v>40</v>
      </c>
    </row>
    <row r="38" spans="2:5" x14ac:dyDescent="0.25">
      <c r="B38" s="136" t="s">
        <v>190</v>
      </c>
      <c r="C38" s="136" t="s">
        <v>40</v>
      </c>
      <c r="D38" s="136" t="s">
        <v>40</v>
      </c>
    </row>
    <row r="39" spans="2:5" x14ac:dyDescent="0.25">
      <c r="B39" s="140" t="s">
        <v>189</v>
      </c>
      <c r="C39" s="147">
        <v>27.4</v>
      </c>
      <c r="D39" s="147">
        <v>3.6</v>
      </c>
    </row>
    <row r="49" spans="2:3" x14ac:dyDescent="0.25">
      <c r="B49" s="132" t="s">
        <v>226</v>
      </c>
    </row>
    <row r="50" spans="2:3" x14ac:dyDescent="0.25">
      <c r="B50" s="136" t="s">
        <v>158</v>
      </c>
      <c r="C50" s="132" t="s">
        <v>165</v>
      </c>
    </row>
    <row r="51" spans="2:3" x14ac:dyDescent="0.25">
      <c r="B51" s="136" t="s">
        <v>166</v>
      </c>
    </row>
    <row r="52" spans="2:3" x14ac:dyDescent="0.25">
      <c r="B52" s="136" t="s">
        <v>159</v>
      </c>
    </row>
    <row r="53" spans="2:3" x14ac:dyDescent="0.25">
      <c r="B53" s="136" t="s">
        <v>160</v>
      </c>
    </row>
    <row r="54" spans="2:3" x14ac:dyDescent="0.25">
      <c r="B54" s="136" t="s">
        <v>161</v>
      </c>
    </row>
    <row r="55" spans="2:3" x14ac:dyDescent="0.25">
      <c r="B55" s="136" t="s">
        <v>162</v>
      </c>
    </row>
  </sheetData>
  <mergeCells count="8">
    <mergeCell ref="B20:B21"/>
    <mergeCell ref="C20:F20"/>
    <mergeCell ref="G20:J20"/>
    <mergeCell ref="B4:B5"/>
    <mergeCell ref="C4:F4"/>
    <mergeCell ref="B11:B12"/>
    <mergeCell ref="C11:F11"/>
    <mergeCell ref="G11:J11"/>
  </mergeCells>
  <phoneticPr fontId="23" type="noConversion"/>
  <hyperlinks>
    <hyperlink ref="D2" r:id="rId1"/>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p:properties xmlns:p="http://schemas.microsoft.com/office/2006/metadata/properties" xmlns:xsi="http://www.w3.org/2001/XMLSchema-instance" xmlns:pc="http://schemas.microsoft.com/office/infopath/2007/PartnerControls"><documentManagement><Area xmlns="$ListId:Shared Documents;">Infrastructure</Area><Reviewer1 xmlns="$ListId:Shared Documents;"><UserInfo><DisplayName></DisplayName><AccountId xsi:nil="true"></AccountId><AccountType/></UserInfo></Reviewer1><Status xmlns="$ListId:Shared Documents;">Released</Status></documentManagement></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ct:contentTypeSchema ct:_="" ma:_="" ma:contentTypeName="Document" ma:contentTypeID="0x010100AE9E792E7D57214DA8E7897069EC3CAA" ma:contentTypeVersion="" ma:contentTypeDescription="Create a new document." ma:contentTypeScope="" ma:versionID="12cd04ab6829d38769e660e3750374cf" xmlns:ct="http://schemas.microsoft.com/office/2006/metadata/contentType" xmlns:ma="http://schemas.microsoft.com/office/2006/metadata/properties/metaAttributes">
<xsd:schema targetNamespace="http://schemas.microsoft.com/office/2006/metadata/properties" ma:root="true" ma:fieldsID="fde39e6851b115d15fba51f85cc9f54b" ns2:_="" xmlns:xsd="http://www.w3.org/2001/XMLSchema" xmlns:xs="http://www.w3.org/2001/XMLSchema" xmlns:p="http://schemas.microsoft.com/office/2006/metadata/properties" xmlns:ns2="$ListId:Shared Documents;">
<xsd:import namespace="$ListId:Shared Documents;"/>
<xsd:element name="properties">
<xsd:complexType>
<xsd:sequence>
<xsd:element name="documentManagement">
<xsd:complexType>
<xsd:all>
<xsd:element ref="ns2:Status"/>
<xsd:element ref="ns2:Reviewer1" minOccurs="0"/>
<xsd:element ref="ns2:Area" minOccurs="0"/>
</xsd:all>
</xsd:complexType>
</xsd:element>
</xsd:sequence>
</xsd:complexType>
</xsd:element>
</xsd:schema>
<xsd:schema targetNamespace="$ListId:Shared Documents;" elementFormDefault="qualified" xmlns:xsd="http://www.w3.org/2001/XMLSchema" xmlns:xs="http://www.w3.org/2001/XMLSchema" xmlns:dms="http://schemas.microsoft.com/office/2006/documentManagement/types" xmlns:pc="http://schemas.microsoft.com/office/infopath/2007/PartnerControls">
<xsd:import namespace="http://schemas.microsoft.com/office/2006/documentManagement/types"/>
<xsd:import namespace="http://schemas.microsoft.com/office/infopath/2007/PartnerControls"/>
<xsd:element name="Status" ma:index="8" ma:displayName="Status" ma:default="In Work" ma:description="Status of Document" ma:format="Dropdown" ma:internalName="Status">
<xsd:simpleType>
<xsd:restriction base="dms:Choice">
<xsd:enumeration value="In Work"/>
<xsd:enumeration value="Reviewing"/>
<xsd:enumeration value="Released"/>
</xsd:restriction>
</xsd:simpleType>
</xsd:element>
<xsd:element name="Reviewer1" ma:index="9" nillable="true" ma:displayName="Reviewer1" ma:list="UserInfo" ma:SharePointGroup="0" ma:internalName="Reviewer1"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ea" ma:index="10" nillable="true" ma:displayName="Area" ma:default="Architecture" ma:format="Dropdown" ma:internalName="Area">
<xsd:simpleType>
<xsd:restriction base="dms:Choice">
<xsd:enumeration value="Architecture"/>
<xsd:enumeration value="Infrastructure"/>
<xsd:enumeration value="Performance/Scalability Testing"/>
<xsd:enumeration value="Monitoring/Logging"/>
<xsd:enumeration value="Security"/>
</xsd:restriction>
</xsd:simpleType>
</xsd:element>
</xsd:schema>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targetNamespace="http://schemas.microsoft.com/office/infopath/2007/PartnerControls" elementFormDefault="qualified" attributeFormDefault="unqualified" xmlns:pc="http://schemas.microsoft.com/office/infopath/2007/PartnerControls" xmlns:xs="http://www.w3.org/2001/XMLSchema">
<xs:element name="Person">
<xs:complexType>
<xs:sequence>
<xs:element ref="pc:DisplayName" minOccurs="0"></xs:element>
<xs:element ref="pc:AccountId" minOccurs="0"></xs:element>
<xs:element ref="pc:AccountType" minOccurs="0"></xs:element>
</xs:sequence>
</xs:complexType>
</xs:element>
<xs:element name="DisplayName" type="xs:string"></xs:element>
<xs:element name="AccountId" type="xs:string"></xs:element>
<xs:element name="AccountType" type="xs:string"></xs:element>
<xs:element name="BDCAssociatedEntity">
<xs:complexType>
<xs:sequence>
<xs:element ref="pc:BDCEntity" minOccurs="0" maxOccurs="unbounded"></xs:element>
</xs:sequence>
<xs:attribute ref="pc:EntityNamespace"></xs:attribute>
<xs:attribute ref="pc:EntityName"></xs:attribute>
<xs:attribute ref="pc:SystemInstanceName"></xs:attribute>
<xs:attribute ref="pc:AssociationName"></xs:attribute>
</xs:complexType>
</xs:element>
<xs:attribute name="EntityNamespace" type="xs:string"></xs:attribute>
<xs:attribute name="EntityName" type="xs:string"></xs:attribute>
<xs:attribute name="SystemInstanceName" type="xs:string"></xs:attribute>
<xs:attribute name="AssociationName" type="xs:string"></xs:attribute>
<xs:element name="BDCEntity">
<xs:complexType>
<xs:sequence>
<xs:element ref="pc:EntityDisplayName" minOccurs="0"></xs:element>
<xs:element ref="pc:EntityInstanceReference" minOccurs="0"></xs:element>
<xs:element ref="pc:EntityId1" minOccurs="0"></xs:element>
<xs:element ref="pc:EntityId2" minOccurs="0"></xs:element>
<xs:element ref="pc:EntityId3" minOccurs="0"></xs:element>
<xs:element ref="pc:EntityId4" minOccurs="0"></xs:element>
<xs:element ref="pc:EntityId5" minOccurs="0"></xs:element>
</xs:sequence>
</xs:complexType>
</xs:element>
<xs:element name="EntityDisplayName" type="xs:string"></xs:element>
<xs:element name="EntityInstanceReference" type="xs:string"></xs:element>
<xs:element name="EntityId1" type="xs:string"></xs:element>
<xs:element name="EntityId2" type="xs:string"></xs:element>
<xs:element name="EntityId3" type="xs:string"></xs:element>
<xs:element name="EntityId4" type="xs:string"></xs:element>
<xs:element name="EntityId5" type="xs:string"></xs:element>
<xs:element name="Terms">
<xs:complexType>
<xs:sequence>
<xs:element ref="pc:TermInfo" minOccurs="0" maxOccurs="unbounded"></xs:element>
</xs:sequence>
</xs:complexType>
</xs:element>
<xs:element name="TermInfo">
<xs:complexType>
<xs:sequence>
<xs:element ref="pc:TermName" minOccurs="0"></xs:element>
<xs:element ref="pc:TermId" minOccurs="0"></xs:element>
</xs:sequence>
</xs:complexType>
</xs:element>
<xs:element name="TermName" type="xs:string"></xs:element>
<xs:element name="TermId" type="xs:string"></xs:element>
</xs:schema>
</ct:contentTypeSchema>
</file>

<file path=customXml/itemProps1.xml><?xml version="1.0" encoding="utf-8"?>
<ds:datastoreItem xmlns:ds="http://schemas.openxmlformats.org/officeDocument/2006/customXml" ds:itemID="{8FD87B1B-218F-49D4-8516-F26F8B0C1675}">
  <ds:schemaRefs>
    <ds:schemaRef ds:uri="http://www.w3.org/XML/1998/namespace"/>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http://schemas.microsoft.com/office/infopath/2007/PartnerControls"/>
    <ds:schemaRef ds:uri="$ListId:Shared Documents;"/>
    <ds:schemaRef ds:uri="http://schemas.microsoft.com/office/2006/metadata/properties"/>
  </ds:schemaRefs>
</ds:datastoreItem>
</file>

<file path=customXml/itemProps2.xml><?xml version="1.0" encoding="utf-8"?>
<ds:datastoreItem xmlns:ds="http://schemas.openxmlformats.org/officeDocument/2006/customXml" ds:itemID="{A6F0F9C7-6E5E-437C-ACAC-85837DD960FE}">
  <ds:schemaRefs>
    <ds:schemaRef ds:uri="http://schemas.microsoft.com/sharepoint/v3/contenttype/forms"/>
  </ds:schemaRefs>
</ds:datastoreItem>
</file>

<file path=customXml/itemProps3.xml><?xml version="1.0" encoding="utf-8"?>
<ds:datastoreItem xmlns:ds="http://schemas.openxmlformats.org/officeDocument/2006/customXml" ds:itemID="{CF3E759B-1529-4063-90BB-E5C55B4E8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Shared Document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已命名的範圍</vt:lpstr>
      </vt:variant>
      <vt:variant>
        <vt:i4>102</vt:i4>
      </vt:variant>
    </vt:vector>
  </HeadingPairs>
  <TitlesOfParts>
    <vt:vector size="113" baseType="lpstr">
      <vt:lpstr>Copyright</vt:lpstr>
      <vt:lpstr>Change Log</vt:lpstr>
      <vt:lpstr>UsageGuide</vt:lpstr>
      <vt:lpstr>SizingforTC8.3</vt:lpstr>
      <vt:lpstr>TC9.1 and TC10.1 Sizing</vt:lpstr>
      <vt:lpstr>TC11.2 Sizing</vt:lpstr>
      <vt:lpstr>SizingforTC10.1inCloud</vt:lpstr>
      <vt:lpstr>8.3Baseline</vt:lpstr>
      <vt:lpstr>9.1Baseline</vt:lpstr>
      <vt:lpstr>10.1Baseline</vt:lpstr>
      <vt:lpstr>11.2Baseline</vt:lpstr>
      <vt:lpstr>SizingforTC10.1inCloud!CON2T</vt:lpstr>
      <vt:lpstr>SizingforTC8.3!CON2T</vt:lpstr>
      <vt:lpstr>'TC11.2 Sizing'!CON2T</vt:lpstr>
      <vt:lpstr>'TC9.1 and TC10.1 Sizing'!CON2T</vt:lpstr>
      <vt:lpstr>SizingforTC10.1inCloud!CON4T</vt:lpstr>
      <vt:lpstr>SizingforTC8.3!CON4T</vt:lpstr>
      <vt:lpstr>'TC11.2 Sizing'!CON4T</vt:lpstr>
      <vt:lpstr>'TC9.1 and TC10.1 Sizing'!CON4T</vt:lpstr>
      <vt:lpstr>SizingforTC10.1inCloud!CON4T2</vt:lpstr>
      <vt:lpstr>'TC11.2 Sizing'!CON4T2</vt:lpstr>
      <vt:lpstr>'TC9.1 and TC10.1 Sizing'!CON4T2</vt:lpstr>
      <vt:lpstr>CON4T2</vt:lpstr>
      <vt:lpstr>SizingforTC10.1inCloud!CONWC</vt:lpstr>
      <vt:lpstr>SizingforTC8.3!CONWC</vt:lpstr>
      <vt:lpstr>'TC11.2 Sizing'!CONWC</vt:lpstr>
      <vt:lpstr>'TC9.1 and TC10.1 Sizing'!CONWC</vt:lpstr>
      <vt:lpstr>SizingforTC10.1inCloud!CPU_SCALE</vt:lpstr>
      <vt:lpstr>'TC11.2 Sizing'!CPU_SCALE</vt:lpstr>
      <vt:lpstr>'TC9.1 and TC10.1 Sizing'!CPU_SCALE</vt:lpstr>
      <vt:lpstr>CPU_SCALE</vt:lpstr>
      <vt:lpstr>SizingforTC10.1inCloud!DB_APP</vt:lpstr>
      <vt:lpstr>'TC11.2 Sizing'!DB_APP</vt:lpstr>
      <vt:lpstr>DB_APP</vt:lpstr>
      <vt:lpstr>SizingforTC10.1inCloud!FMS_SCALE</vt:lpstr>
      <vt:lpstr>'TC11.2 Sizing'!FMS_SCALE</vt:lpstr>
      <vt:lpstr>'TC9.1 and TC10.1 Sizing'!FMS_SCALE</vt:lpstr>
      <vt:lpstr>FMS_SCALE</vt:lpstr>
      <vt:lpstr>MEM_DT</vt:lpstr>
      <vt:lpstr>'TC11.2 Sizing'!MEM_DT_RAC</vt:lpstr>
      <vt:lpstr>MEM_DT_RAC</vt:lpstr>
      <vt:lpstr>SizingforTC10.1inCloud!MEM_DT_Thin</vt:lpstr>
      <vt:lpstr>'TC11.2 Sizing'!MEM_DT_Thin</vt:lpstr>
      <vt:lpstr>MEM_DT_Thin</vt:lpstr>
      <vt:lpstr>MEM_ET</vt:lpstr>
      <vt:lpstr>'TC11.2 Sizing'!MEM_ET_RAC</vt:lpstr>
      <vt:lpstr>MEM_ET_RAC</vt:lpstr>
      <vt:lpstr>SizingforTC10.1inCloud!MEM_ET_Thin</vt:lpstr>
      <vt:lpstr>'TC11.2 Sizing'!MEM_ET_Thin</vt:lpstr>
      <vt:lpstr>'TC9.1 and TC10.1 Sizing'!MEM_ET_Thin</vt:lpstr>
      <vt:lpstr>'TC11.2 Sizing'!MEM_FT</vt:lpstr>
      <vt:lpstr>'TC9.1 and TC10.1 Sizing'!MEM_FT</vt:lpstr>
      <vt:lpstr>MEM_FT</vt:lpstr>
      <vt:lpstr>SizingforTC10.1inCloud!MEM_FT_Thin</vt:lpstr>
      <vt:lpstr>SizingforTC10.1inCloud!MEM_SCALE</vt:lpstr>
      <vt:lpstr>'TC11.2 Sizing'!MEM_SCALE</vt:lpstr>
      <vt:lpstr>'TC9.1 and TC10.1 Sizing'!MEM_SCALE</vt:lpstr>
      <vt:lpstr>MEM_SCALE</vt:lpstr>
      <vt:lpstr>'TC11.2 Sizing'!MEM_SGA</vt:lpstr>
      <vt:lpstr>'TC9.1 and TC10.1 Sizing'!MEM_SGA</vt:lpstr>
      <vt:lpstr>MEM_SGA</vt:lpstr>
      <vt:lpstr>'TC11.2 Sizing'!MEM_WT</vt:lpstr>
      <vt:lpstr>'TC9.1 and TC10.1 Sizing'!MEM_WT</vt:lpstr>
      <vt:lpstr>MEM_WT</vt:lpstr>
      <vt:lpstr>SizingforTC10.1inCloud!MEM_WT_Thin</vt:lpstr>
      <vt:lpstr>SizingforTC10.1inCloud!NUM2T</vt:lpstr>
      <vt:lpstr>SizingforTC8.3!NUM2T</vt:lpstr>
      <vt:lpstr>'TC11.2 Sizing'!NUM2T</vt:lpstr>
      <vt:lpstr>'TC9.1 and TC10.1 Sizing'!NUM2T</vt:lpstr>
      <vt:lpstr>SizingforTC10.1inCloud!NUM4T</vt:lpstr>
      <vt:lpstr>SizingforTC8.3!NUM4T</vt:lpstr>
      <vt:lpstr>'TC11.2 Sizing'!NUM4T</vt:lpstr>
      <vt:lpstr>'TC9.1 and TC10.1 Sizing'!NUM4T</vt:lpstr>
      <vt:lpstr>SizingforTC10.1inCloud!NUM4T2</vt:lpstr>
      <vt:lpstr>'TC11.2 Sizing'!NUM4T2</vt:lpstr>
      <vt:lpstr>'TC9.1 and TC10.1 Sizing'!NUM4T2</vt:lpstr>
      <vt:lpstr>NUM4T2</vt:lpstr>
      <vt:lpstr>SizingforTC10.1inCloud!NUMWC</vt:lpstr>
      <vt:lpstr>SizingforTC8.3!NUMWC</vt:lpstr>
      <vt:lpstr>'TC11.2 Sizing'!NUMWC</vt:lpstr>
      <vt:lpstr>'TC9.1 and TC10.1 Sizing'!NUMWC</vt:lpstr>
      <vt:lpstr>SizingforTC10.1inCloud!PEAKCPUMEM</vt:lpstr>
      <vt:lpstr>'TC11.2 Sizing'!PEAKCPUMEM</vt:lpstr>
      <vt:lpstr>'TC9.1 and TC10.1 Sizing'!PEAKCPUMEM</vt:lpstr>
      <vt:lpstr>PEAKCPUMEM</vt:lpstr>
      <vt:lpstr>SizingforTC10.1inCloud!Print_Area</vt:lpstr>
      <vt:lpstr>SizingforTC8.3!Print_Area</vt:lpstr>
      <vt:lpstr>'TC11.2 Sizing'!Print_Area</vt:lpstr>
      <vt:lpstr>'TC9.1 and TC10.1 Sizing'!Print_Area</vt:lpstr>
      <vt:lpstr>SizingforTC10.1inCloud!SCALE</vt:lpstr>
      <vt:lpstr>SizingforTC8.3!SCALE</vt:lpstr>
      <vt:lpstr>'TC11.2 Sizing'!SCALE</vt:lpstr>
      <vt:lpstr>'TC9.1 and TC10.1 Sizing'!SCALE</vt:lpstr>
      <vt:lpstr>SDR_DT</vt:lpstr>
      <vt:lpstr>'TC11.2 Sizing'!SDR_DT_RAC</vt:lpstr>
      <vt:lpstr>'TC9.1 and TC10.1 Sizing'!SDR_DT_RAC</vt:lpstr>
      <vt:lpstr>SizingforTC10.1inCloud!SDR_DT_Thin</vt:lpstr>
      <vt:lpstr>'TC11.2 Sizing'!SDR_DT_Thin</vt:lpstr>
      <vt:lpstr>'TC9.1 and TC10.1 Sizing'!SDR_DT_Thin</vt:lpstr>
      <vt:lpstr>SDR_ET</vt:lpstr>
      <vt:lpstr>'TC11.2 Sizing'!SDR_ET_RAC</vt:lpstr>
      <vt:lpstr>SDR_ET_RAC</vt:lpstr>
      <vt:lpstr>SizingforTC10.1inCloud!SDR_ET_Thin</vt:lpstr>
      <vt:lpstr>'TC11.2 Sizing'!SDR_ET_Thin</vt:lpstr>
      <vt:lpstr>SDR_ET_Thin</vt:lpstr>
      <vt:lpstr>'TC11.2 Sizing'!SDR_FT</vt:lpstr>
      <vt:lpstr>'TC9.1 and TC10.1 Sizing'!SDR_FT</vt:lpstr>
      <vt:lpstr>SDR_FT</vt:lpstr>
      <vt:lpstr>SizingforTC10.1inCloud!SDR_FT_Thin</vt:lpstr>
      <vt:lpstr>'TC11.2 Sizing'!SDR_WT</vt:lpstr>
      <vt:lpstr>'TC9.1 and TC10.1 Sizing'!SDR_WT</vt:lpstr>
      <vt:lpstr>SDR_WT</vt:lpstr>
      <vt:lpstr>SizingforTC10.1inCloud!SDR_WT_Thin</vt:lpstr>
    </vt:vector>
  </TitlesOfParts>
  <Company>Siemens PLM Software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Teamcenter Server Sizing Estimator</dc:title>
  <dc:creator>Ramesh Venugopal</dc:creator>
  <cp:lastModifiedBy>Chen, Oliver</cp:lastModifiedBy>
  <cp:lastPrinted>2013-05-10T20:45:31Z</cp:lastPrinted>
  <dcterms:created xsi:type="dcterms:W3CDTF">2012-09-17T19:02:19Z</dcterms:created>
  <dcterms:modified xsi:type="dcterms:W3CDTF">2017-06-05T03:26:15Z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0x010100AE9E792E7D57214DA8E7897069EC3CAA</vt:lpwstr>
  </property>
  <property fmtid="{D5CDD505-2E9C-101B-9397-08002B2CF9AE}" pid="3" name="Order">
    <vt:r8>8500</vt:r8>
  </property>
  <property fmtid="{D5CDD505-2E9C-101B-9397-08002B2CF9AE}" pid="4" name="TemplateUrl">
    <vt:lpwstr/>
  </property>
  <property fmtid="{D5CDD505-2E9C-101B-9397-08002B2CF9AE}" pid="5" name="_CopySource">
    <vt:lpwstr>https://mycommunity.ugs.com/products/tc/infrastructure/cgp/Shared Documents/2.0 Infrastructure/SPLMInternal_TeamcenterServerSizingEstimator_v4.2.xlsx</vt:lpwstr>
  </property>
  <property fmtid="{D5CDD505-2E9C-101B-9397-08002B2CF9AE}" pid="6" name="xd_ProgID">
    <vt:lpwstr/>
  </property>
</Properties>
</file>